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hidePivotFieldList="1" defaultThemeVersion="124226"/>
  <xr:revisionPtr revIDLastSave="115" documentId="8_{E74B78C4-9B8E-46A9-BD61-B0DF5AC79B24}" xr6:coauthVersionLast="47" xr6:coauthVersionMax="47" xr10:uidLastSave="{91B38F5C-8C4C-4454-BF15-CD9AA987B256}"/>
  <bookViews>
    <workbookView xWindow="-28920" yWindow="-120" windowWidth="29040" windowHeight="15840" tabRatio="538" activeTab="3" xr2:uid="{00000000-000D-0000-FFFF-FFFF00000000}"/>
  </bookViews>
  <sheets>
    <sheet name="Summary" sheetId="16" r:id="rId1"/>
    <sheet name="Advance Payments" sheetId="34" state="hidden" r:id="rId2"/>
    <sheet name="Actuals + Forecast" sheetId="21" state="hidden" r:id="rId3"/>
    <sheet name="Transaction list" sheetId="27" r:id="rId4"/>
    <sheet name="Variance" sheetId="36" state="hidden" r:id="rId5"/>
    <sheet name="Eligible costs guidance" sheetId="35" state="hidden" r:id="rId6"/>
    <sheet name="Reporte final UK 30SEP" sheetId="37" state="hidden" r:id="rId7"/>
    <sheet name="Staff list" sheetId="31" state="hidden" r:id="rId8"/>
  </sheets>
  <definedNames>
    <definedName name="_1__xlcn.WorksheetConnection_4.CommercialPricingSchedulefinalCGRFProposal.XLSXTable2" hidden="1">#REF!</definedName>
    <definedName name="_2__xlcn.WorksheetConnection_4.CommercialPricingSchedulefinalCGRFProposal.XLSXTable22"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1" i="27" l="1"/>
  <c r="T70" i="27"/>
  <c r="S74" i="27"/>
  <c r="P72" i="27"/>
  <c r="P74" i="27"/>
  <c r="P71" i="27"/>
  <c r="P70" i="27"/>
  <c r="S71" i="27"/>
  <c r="S72" i="27" s="1"/>
  <c r="P85" i="27"/>
  <c r="O61" i="27"/>
  <c r="O60" i="27"/>
  <c r="J40" i="27"/>
  <c r="R33" i="27"/>
  <c r="R15" i="27"/>
  <c r="R22" i="27"/>
  <c r="R20" i="27"/>
  <c r="R18" i="27"/>
  <c r="R35" i="27"/>
  <c r="R21" i="27"/>
  <c r="R19" i="27"/>
  <c r="R13" i="27"/>
  <c r="R9" i="27"/>
  <c r="R5" i="27"/>
  <c r="R6" i="27"/>
  <c r="R7" i="27"/>
  <c r="R8" i="27"/>
  <c r="R10" i="27"/>
  <c r="R11" i="27"/>
  <c r="R12" i="27"/>
  <c r="R14" i="27"/>
  <c r="R16" i="27"/>
  <c r="R17" i="27"/>
  <c r="R23" i="27"/>
  <c r="R24" i="27"/>
  <c r="R25" i="27"/>
  <c r="R26" i="27"/>
  <c r="R27" i="27"/>
  <c r="R28" i="27"/>
  <c r="R29" i="27"/>
  <c r="R30" i="27"/>
  <c r="R31" i="27"/>
  <c r="R32" i="27"/>
  <c r="R34" i="27"/>
  <c r="R36" i="27"/>
  <c r="R37" i="27"/>
  <c r="R38" i="27"/>
  <c r="R39" i="27"/>
  <c r="R40" i="27"/>
  <c r="R41" i="27"/>
  <c r="R42" i="27"/>
  <c r="R43" i="27"/>
  <c r="R44" i="27"/>
  <c r="R45" i="27"/>
  <c r="R46" i="27"/>
  <c r="F59" i="37" l="1"/>
  <c r="P57" i="37" l="1"/>
  <c r="P59" i="37" s="1"/>
  <c r="O57" i="37" l="1"/>
  <c r="O59" i="37" s="1"/>
  <c r="I47" i="37"/>
  <c r="H47" i="37"/>
  <c r="G47" i="37"/>
  <c r="F47" i="37"/>
  <c r="D47" i="37"/>
  <c r="R46" i="37"/>
  <c r="N46" i="37"/>
  <c r="Q46" i="37" s="1"/>
  <c r="M46" i="37"/>
  <c r="P46" i="37" s="1"/>
  <c r="L46" i="37"/>
  <c r="O46" i="37" s="1"/>
  <c r="R45" i="37"/>
  <c r="N45" i="37"/>
  <c r="Q45" i="37" s="1"/>
  <c r="M45" i="37"/>
  <c r="P45" i="37" s="1"/>
  <c r="L45" i="37"/>
  <c r="O45" i="37" s="1"/>
  <c r="R44" i="37"/>
  <c r="N44" i="37"/>
  <c r="Q44" i="37" s="1"/>
  <c r="M44" i="37"/>
  <c r="P44" i="37" s="1"/>
  <c r="L44" i="37"/>
  <c r="O44" i="37" s="1"/>
  <c r="R43" i="37"/>
  <c r="N43" i="37"/>
  <c r="Q43" i="37" s="1"/>
  <c r="M43" i="37"/>
  <c r="P43" i="37" s="1"/>
  <c r="L43" i="37"/>
  <c r="O43" i="37" s="1"/>
  <c r="R42" i="37"/>
  <c r="N42" i="37"/>
  <c r="Q42" i="37" s="1"/>
  <c r="M42" i="37"/>
  <c r="P42" i="37" s="1"/>
  <c r="L42" i="37"/>
  <c r="O42" i="37" s="1"/>
  <c r="R41" i="37"/>
  <c r="N41" i="37"/>
  <c r="Q41" i="37" s="1"/>
  <c r="M41" i="37"/>
  <c r="P41" i="37" s="1"/>
  <c r="L41" i="37"/>
  <c r="O41" i="37" s="1"/>
  <c r="N40" i="37"/>
  <c r="Q40" i="37" s="1"/>
  <c r="M40" i="37"/>
  <c r="P40" i="37" s="1"/>
  <c r="L40" i="37"/>
  <c r="O40" i="37" s="1"/>
  <c r="J40" i="37"/>
  <c r="R40" i="37" s="1"/>
  <c r="R39" i="37"/>
  <c r="N39" i="37"/>
  <c r="Q39" i="37" s="1"/>
  <c r="M39" i="37"/>
  <c r="P39" i="37" s="1"/>
  <c r="L39" i="37"/>
  <c r="O39" i="37" s="1"/>
  <c r="R38" i="37"/>
  <c r="N38" i="37"/>
  <c r="Q38" i="37" s="1"/>
  <c r="M38" i="37"/>
  <c r="P38" i="37" s="1"/>
  <c r="L38" i="37"/>
  <c r="O38" i="37" s="1"/>
  <c r="R37" i="37"/>
  <c r="N37" i="37"/>
  <c r="Q37" i="37" s="1"/>
  <c r="M37" i="37"/>
  <c r="P37" i="37" s="1"/>
  <c r="L37" i="37"/>
  <c r="O37" i="37" s="1"/>
  <c r="R36" i="37"/>
  <c r="N36" i="37"/>
  <c r="Q36" i="37" s="1"/>
  <c r="M36" i="37"/>
  <c r="P36" i="37" s="1"/>
  <c r="L36" i="37"/>
  <c r="O36" i="37" s="1"/>
  <c r="R35" i="37"/>
  <c r="N35" i="37"/>
  <c r="Q35" i="37" s="1"/>
  <c r="M35" i="37"/>
  <c r="P35" i="37" s="1"/>
  <c r="L35" i="37"/>
  <c r="O35" i="37" s="1"/>
  <c r="R34" i="37"/>
  <c r="N34" i="37"/>
  <c r="Q34" i="37" s="1"/>
  <c r="M34" i="37"/>
  <c r="P34" i="37" s="1"/>
  <c r="L34" i="37"/>
  <c r="O34" i="37" s="1"/>
  <c r="R33" i="37"/>
  <c r="N33" i="37"/>
  <c r="Q33" i="37" s="1"/>
  <c r="M33" i="37"/>
  <c r="P33" i="37" s="1"/>
  <c r="L33" i="37"/>
  <c r="O33" i="37" s="1"/>
  <c r="R32" i="37"/>
  <c r="N32" i="37"/>
  <c r="Q32" i="37" s="1"/>
  <c r="M32" i="37"/>
  <c r="P32" i="37" s="1"/>
  <c r="L32" i="37"/>
  <c r="O32" i="37" s="1"/>
  <c r="R31" i="37"/>
  <c r="N31" i="37"/>
  <c r="Q31" i="37" s="1"/>
  <c r="M31" i="37"/>
  <c r="P31" i="37" s="1"/>
  <c r="L31" i="37"/>
  <c r="O31" i="37" s="1"/>
  <c r="R30" i="37"/>
  <c r="N30" i="37"/>
  <c r="Q30" i="37" s="1"/>
  <c r="M30" i="37"/>
  <c r="P30" i="37" s="1"/>
  <c r="L30" i="37"/>
  <c r="O30" i="37" s="1"/>
  <c r="R29" i="37"/>
  <c r="N29" i="37"/>
  <c r="Q29" i="37" s="1"/>
  <c r="M29" i="37"/>
  <c r="P29" i="37" s="1"/>
  <c r="L29" i="37"/>
  <c r="O29" i="37" s="1"/>
  <c r="R28" i="37"/>
  <c r="N28" i="37"/>
  <c r="Q28" i="37" s="1"/>
  <c r="M28" i="37"/>
  <c r="P28" i="37" s="1"/>
  <c r="L28" i="37"/>
  <c r="O28" i="37" s="1"/>
  <c r="R27" i="37"/>
  <c r="N27" i="37"/>
  <c r="Q27" i="37" s="1"/>
  <c r="M27" i="37"/>
  <c r="P27" i="37" s="1"/>
  <c r="L27" i="37"/>
  <c r="O27" i="37" s="1"/>
  <c r="R26" i="37"/>
  <c r="N26" i="37"/>
  <c r="Q26" i="37" s="1"/>
  <c r="M26" i="37"/>
  <c r="P26" i="37" s="1"/>
  <c r="L26" i="37"/>
  <c r="O26" i="37" s="1"/>
  <c r="R25" i="37"/>
  <c r="N25" i="37"/>
  <c r="Q25" i="37" s="1"/>
  <c r="M25" i="37"/>
  <c r="P25" i="37" s="1"/>
  <c r="L25" i="37"/>
  <c r="O25" i="37" s="1"/>
  <c r="R24" i="37"/>
  <c r="N24" i="37"/>
  <c r="Q24" i="37" s="1"/>
  <c r="M24" i="37"/>
  <c r="P24" i="37" s="1"/>
  <c r="L24" i="37"/>
  <c r="O24" i="37" s="1"/>
  <c r="R23" i="37"/>
  <c r="N23" i="37"/>
  <c r="Q23" i="37" s="1"/>
  <c r="M23" i="37"/>
  <c r="P23" i="37" s="1"/>
  <c r="L23" i="37"/>
  <c r="O23" i="37" s="1"/>
  <c r="R22" i="37"/>
  <c r="N22" i="37"/>
  <c r="Q22" i="37" s="1"/>
  <c r="M22" i="37"/>
  <c r="P22" i="37" s="1"/>
  <c r="L22" i="37"/>
  <c r="O22" i="37" s="1"/>
  <c r="R21" i="37"/>
  <c r="N21" i="37"/>
  <c r="Q21" i="37" s="1"/>
  <c r="M21" i="37"/>
  <c r="P21" i="37" s="1"/>
  <c r="L21" i="37"/>
  <c r="O21" i="37" s="1"/>
  <c r="R20" i="37"/>
  <c r="N20" i="37"/>
  <c r="Q20" i="37" s="1"/>
  <c r="M20" i="37"/>
  <c r="P20" i="37" s="1"/>
  <c r="L20" i="37"/>
  <c r="O20" i="37" s="1"/>
  <c r="R19" i="37"/>
  <c r="N19" i="37"/>
  <c r="Q19" i="37" s="1"/>
  <c r="M19" i="37"/>
  <c r="P19" i="37" s="1"/>
  <c r="L19" i="37"/>
  <c r="O19" i="37" s="1"/>
  <c r="R18" i="37"/>
  <c r="N18" i="37"/>
  <c r="Q18" i="37" s="1"/>
  <c r="M18" i="37"/>
  <c r="P18" i="37" s="1"/>
  <c r="L18" i="37"/>
  <c r="O18" i="37" s="1"/>
  <c r="R17" i="37"/>
  <c r="N17" i="37"/>
  <c r="Q17" i="37" s="1"/>
  <c r="M17" i="37"/>
  <c r="P17" i="37" s="1"/>
  <c r="L17" i="37"/>
  <c r="O17" i="37" s="1"/>
  <c r="R16" i="37"/>
  <c r="N16" i="37"/>
  <c r="Q16" i="37" s="1"/>
  <c r="M16" i="37"/>
  <c r="P16" i="37" s="1"/>
  <c r="L16" i="37"/>
  <c r="O16" i="37" s="1"/>
  <c r="R15" i="37"/>
  <c r="N15" i="37"/>
  <c r="Q15" i="37" s="1"/>
  <c r="M15" i="37"/>
  <c r="P15" i="37" s="1"/>
  <c r="L15" i="37"/>
  <c r="O15" i="37" s="1"/>
  <c r="R14" i="37"/>
  <c r="N14" i="37"/>
  <c r="Q14" i="37" s="1"/>
  <c r="M14" i="37"/>
  <c r="P14" i="37" s="1"/>
  <c r="L14" i="37"/>
  <c r="O14" i="37" s="1"/>
  <c r="R13" i="37"/>
  <c r="N13" i="37"/>
  <c r="Q13" i="37" s="1"/>
  <c r="M13" i="37"/>
  <c r="P13" i="37" s="1"/>
  <c r="L13" i="37"/>
  <c r="O13" i="37" s="1"/>
  <c r="R12" i="37"/>
  <c r="N12" i="37"/>
  <c r="Q12" i="37" s="1"/>
  <c r="M12" i="37"/>
  <c r="P12" i="37" s="1"/>
  <c r="L12" i="37"/>
  <c r="O12" i="37" s="1"/>
  <c r="R11" i="37"/>
  <c r="N11" i="37"/>
  <c r="Q11" i="37" s="1"/>
  <c r="M11" i="37"/>
  <c r="P11" i="37" s="1"/>
  <c r="L11" i="37"/>
  <c r="O11" i="37" s="1"/>
  <c r="R10" i="37"/>
  <c r="N10" i="37"/>
  <c r="Q10" i="37" s="1"/>
  <c r="M10" i="37"/>
  <c r="P10" i="37" s="1"/>
  <c r="L10" i="37"/>
  <c r="O10" i="37" s="1"/>
  <c r="R9" i="37"/>
  <c r="N9" i="37"/>
  <c r="Q9" i="37" s="1"/>
  <c r="M9" i="37"/>
  <c r="P9" i="37" s="1"/>
  <c r="L9" i="37"/>
  <c r="O9" i="37" s="1"/>
  <c r="R8" i="37"/>
  <c r="N8" i="37"/>
  <c r="Q8" i="37" s="1"/>
  <c r="M8" i="37"/>
  <c r="P8" i="37" s="1"/>
  <c r="L8" i="37"/>
  <c r="O8" i="37" s="1"/>
  <c r="R7" i="37"/>
  <c r="N7" i="37"/>
  <c r="Q7" i="37" s="1"/>
  <c r="M7" i="37"/>
  <c r="P7" i="37" s="1"/>
  <c r="L7" i="37"/>
  <c r="O7" i="37" s="1"/>
  <c r="R6" i="37"/>
  <c r="N6" i="37"/>
  <c r="Q6" i="37" s="1"/>
  <c r="M6" i="37"/>
  <c r="P6" i="37" s="1"/>
  <c r="L6" i="37"/>
  <c r="O6" i="37" s="1"/>
  <c r="R5" i="37"/>
  <c r="N5" i="37"/>
  <c r="M5" i="37"/>
  <c r="L5" i="37"/>
  <c r="O5" i="37" s="1"/>
  <c r="F50" i="37" l="1"/>
  <c r="S10" i="37"/>
  <c r="S37" i="37"/>
  <c r="S42" i="37"/>
  <c r="T42" i="37" s="1"/>
  <c r="S43" i="37"/>
  <c r="T43" i="37" s="1"/>
  <c r="S9" i="37"/>
  <c r="S18" i="37"/>
  <c r="S17" i="37"/>
  <c r="S28" i="37"/>
  <c r="T28" i="37" s="1"/>
  <c r="S25" i="37"/>
  <c r="S16" i="37"/>
  <c r="U16" i="37" s="1"/>
  <c r="S44" i="37"/>
  <c r="S24" i="37"/>
  <c r="S12" i="37"/>
  <c r="U12" i="37" s="1"/>
  <c r="S14" i="37"/>
  <c r="S21" i="37"/>
  <c r="S26" i="37"/>
  <c r="T26" i="37" s="1"/>
  <c r="S33" i="37"/>
  <c r="T33" i="37" s="1"/>
  <c r="S35" i="37"/>
  <c r="U35" i="37" s="1"/>
  <c r="S30" i="37"/>
  <c r="S8" i="37"/>
  <c r="S46" i="37"/>
  <c r="U46" i="37" s="1"/>
  <c r="S11" i="37"/>
  <c r="U11" i="37" s="1"/>
  <c r="S6" i="37"/>
  <c r="S27" i="37"/>
  <c r="U27" i="37" s="1"/>
  <c r="S32" i="37"/>
  <c r="U32" i="37" s="1"/>
  <c r="S19" i="37"/>
  <c r="U19" i="37" s="1"/>
  <c r="S13" i="37"/>
  <c r="S20" i="37"/>
  <c r="U20" i="37" s="1"/>
  <c r="S22" i="37"/>
  <c r="S41" i="37"/>
  <c r="S29" i="37"/>
  <c r="S36" i="37"/>
  <c r="U36" i="37" s="1"/>
  <c r="S38" i="37"/>
  <c r="J47" i="37"/>
  <c r="S34" i="37"/>
  <c r="S45" i="37"/>
  <c r="S31" i="37"/>
  <c r="T31" i="37" s="1"/>
  <c r="S7" i="37"/>
  <c r="T7" i="37" s="1"/>
  <c r="S23" i="37"/>
  <c r="U23" i="37" s="1"/>
  <c r="S39" i="37"/>
  <c r="U39" i="37" s="1"/>
  <c r="S15" i="37"/>
  <c r="T15" i="37" s="1"/>
  <c r="S40" i="37"/>
  <c r="N47" i="37"/>
  <c r="R47" i="37"/>
  <c r="R50" i="37" s="1"/>
  <c r="F56" i="37"/>
  <c r="M47" i="37"/>
  <c r="O47" i="37"/>
  <c r="O50" i="37" s="1"/>
  <c r="U10" i="37"/>
  <c r="T10" i="37"/>
  <c r="T17" i="37"/>
  <c r="U17" i="37"/>
  <c r="U26" i="37"/>
  <c r="L47" i="37"/>
  <c r="P5" i="37"/>
  <c r="P47" i="37" s="1"/>
  <c r="P50" i="37" s="1"/>
  <c r="F49" i="37"/>
  <c r="F52" i="37" s="1"/>
  <c r="Q5" i="37"/>
  <c r="Q47" i="37" s="1"/>
  <c r="Q50" i="37" s="1"/>
  <c r="U43" i="37" l="1"/>
  <c r="U42" i="37"/>
  <c r="F57" i="37"/>
  <c r="T36" i="37"/>
  <c r="T27" i="37"/>
  <c r="T11" i="37"/>
  <c r="U28" i="37"/>
  <c r="U7" i="37"/>
  <c r="T19" i="37"/>
  <c r="U15" i="37"/>
  <c r="T16" i="37"/>
  <c r="T32" i="37"/>
  <c r="T35" i="37"/>
  <c r="U33" i="37"/>
  <c r="T23" i="37"/>
  <c r="U31" i="37"/>
  <c r="T46" i="37"/>
  <c r="T20" i="37"/>
  <c r="T12" i="37"/>
  <c r="S5" i="37"/>
  <c r="T39" i="37"/>
  <c r="F58" i="37"/>
  <c r="T44" i="37"/>
  <c r="U44" i="37"/>
  <c r="T40" i="37"/>
  <c r="U40" i="37"/>
  <c r="T38" i="37"/>
  <c r="U38" i="37"/>
  <c r="T37" i="37"/>
  <c r="U37" i="37"/>
  <c r="U41" i="37"/>
  <c r="T41" i="37"/>
  <c r="U24" i="37"/>
  <c r="T24" i="37"/>
  <c r="T30" i="37"/>
  <c r="U30" i="37"/>
  <c r="T34" i="37"/>
  <c r="U34" i="37"/>
  <c r="T22" i="37"/>
  <c r="U22" i="37"/>
  <c r="T21" i="37"/>
  <c r="U21" i="37"/>
  <c r="T25" i="37"/>
  <c r="U25" i="37"/>
  <c r="T29" i="37"/>
  <c r="U29" i="37"/>
  <c r="T13" i="37"/>
  <c r="U13" i="37"/>
  <c r="T14" i="37"/>
  <c r="U14" i="37"/>
  <c r="T18" i="37"/>
  <c r="U18" i="37"/>
  <c r="T9" i="37"/>
  <c r="U9" i="37"/>
  <c r="T6" i="37"/>
  <c r="U6" i="37"/>
  <c r="U8" i="37"/>
  <c r="T8" i="37"/>
  <c r="U45" i="37"/>
  <c r="T45" i="37"/>
  <c r="S47" i="37" l="1"/>
  <c r="S50" i="37" s="1"/>
  <c r="U5" i="37"/>
  <c r="T5" i="37"/>
  <c r="T47" i="37" s="1"/>
  <c r="M39" i="27" l="1"/>
  <c r="P39" i="27" s="1"/>
  <c r="J47" i="27"/>
  <c r="L34" i="27"/>
  <c r="L35" i="27"/>
  <c r="L36" i="27"/>
  <c r="F47" i="27"/>
  <c r="F50" i="27" s="1"/>
  <c r="E50" i="27" l="1"/>
  <c r="R47" i="27"/>
  <c r="M41" i="27"/>
  <c r="P41" i="27" s="1"/>
  <c r="D49" i="16" l="1"/>
  <c r="R53" i="27"/>
  <c r="N5" i="27"/>
  <c r="Q5" i="27" s="1"/>
  <c r="N6" i="27"/>
  <c r="Q6" i="27" s="1"/>
  <c r="N7" i="27"/>
  <c r="Q7" i="27" s="1"/>
  <c r="N8" i="27"/>
  <c r="Q8" i="27" s="1"/>
  <c r="N9" i="27"/>
  <c r="Q9" i="27" s="1"/>
  <c r="N10" i="27"/>
  <c r="Q10" i="27" s="1"/>
  <c r="N11" i="27"/>
  <c r="Q11" i="27" s="1"/>
  <c r="N12" i="27"/>
  <c r="Q12" i="27" s="1"/>
  <c r="N13" i="27"/>
  <c r="Q13" i="27" s="1"/>
  <c r="N14" i="27"/>
  <c r="Q14" i="27" s="1"/>
  <c r="N15" i="27"/>
  <c r="Q15" i="27" s="1"/>
  <c r="N16" i="27"/>
  <c r="Q16" i="27" s="1"/>
  <c r="N17" i="27"/>
  <c r="Q17" i="27" s="1"/>
  <c r="N18" i="27"/>
  <c r="Q18" i="27" s="1"/>
  <c r="N19" i="27"/>
  <c r="Q19" i="27" s="1"/>
  <c r="N20" i="27"/>
  <c r="Q20" i="27" s="1"/>
  <c r="N21" i="27"/>
  <c r="Q21" i="27" s="1"/>
  <c r="N22" i="27"/>
  <c r="Q22" i="27" s="1"/>
  <c r="N23" i="27"/>
  <c r="Q23" i="27" s="1"/>
  <c r="N24" i="27"/>
  <c r="Q24" i="27" s="1"/>
  <c r="N25" i="27"/>
  <c r="Q25" i="27" s="1"/>
  <c r="N26" i="27"/>
  <c r="Q26" i="27" s="1"/>
  <c r="N27" i="27"/>
  <c r="Q27" i="27" s="1"/>
  <c r="N28" i="27"/>
  <c r="Q28" i="27" s="1"/>
  <c r="N29" i="27"/>
  <c r="Q29" i="27" s="1"/>
  <c r="N30" i="27"/>
  <c r="Q30" i="27" s="1"/>
  <c r="N31" i="27"/>
  <c r="Q31" i="27" s="1"/>
  <c r="N32" i="27"/>
  <c r="Q32" i="27" s="1"/>
  <c r="N33" i="27"/>
  <c r="Q33" i="27" s="1"/>
  <c r="N34" i="27"/>
  <c r="Q34" i="27" s="1"/>
  <c r="N35" i="27"/>
  <c r="Q35" i="27" s="1"/>
  <c r="N36" i="27"/>
  <c r="Q36" i="27" s="1"/>
  <c r="N37" i="27"/>
  <c r="Q37" i="27" s="1"/>
  <c r="N38" i="27"/>
  <c r="Q38" i="27" s="1"/>
  <c r="N39" i="27"/>
  <c r="Q39" i="27" s="1"/>
  <c r="N40" i="27"/>
  <c r="Q40" i="27" s="1"/>
  <c r="N41" i="27"/>
  <c r="Q41" i="27" s="1"/>
  <c r="N42" i="27"/>
  <c r="Q42" i="27" s="1"/>
  <c r="N43" i="27"/>
  <c r="Q43" i="27" s="1"/>
  <c r="N44" i="27"/>
  <c r="Q44" i="27" s="1"/>
  <c r="N45" i="27"/>
  <c r="Q45" i="27" s="1"/>
  <c r="N46" i="27"/>
  <c r="Q46" i="27" s="1"/>
  <c r="M5" i="27"/>
  <c r="P5" i="27" s="1"/>
  <c r="I47" i="27"/>
  <c r="D44" i="16" s="1"/>
  <c r="F57" i="27"/>
  <c r="M6" i="27"/>
  <c r="P6" i="27" s="1"/>
  <c r="M7" i="27"/>
  <c r="P7" i="27" s="1"/>
  <c r="M8" i="27"/>
  <c r="P8" i="27" s="1"/>
  <c r="M9" i="27"/>
  <c r="P9" i="27" s="1"/>
  <c r="M10" i="27"/>
  <c r="P10" i="27" s="1"/>
  <c r="M11" i="27"/>
  <c r="P11" i="27" s="1"/>
  <c r="M12" i="27"/>
  <c r="P12" i="27" s="1"/>
  <c r="M13" i="27"/>
  <c r="P13" i="27" s="1"/>
  <c r="M14" i="27"/>
  <c r="P14" i="27" s="1"/>
  <c r="M15" i="27"/>
  <c r="P15" i="27" s="1"/>
  <c r="M16" i="27"/>
  <c r="P16" i="27" s="1"/>
  <c r="M17" i="27"/>
  <c r="P17" i="27" s="1"/>
  <c r="M18" i="27"/>
  <c r="P18" i="27" s="1"/>
  <c r="M19" i="27"/>
  <c r="P19" i="27" s="1"/>
  <c r="M20" i="27"/>
  <c r="P20" i="27" s="1"/>
  <c r="M21" i="27"/>
  <c r="P21" i="27" s="1"/>
  <c r="M22" i="27"/>
  <c r="P22" i="27" s="1"/>
  <c r="M23" i="27"/>
  <c r="P23" i="27" s="1"/>
  <c r="M24" i="27"/>
  <c r="P24" i="27" s="1"/>
  <c r="M25" i="27"/>
  <c r="P25" i="27" s="1"/>
  <c r="M26" i="27"/>
  <c r="P26" i="27" s="1"/>
  <c r="M27" i="27"/>
  <c r="P27" i="27" s="1"/>
  <c r="M28" i="27"/>
  <c r="P28" i="27" s="1"/>
  <c r="M29" i="27"/>
  <c r="P29" i="27" s="1"/>
  <c r="M30" i="27"/>
  <c r="P30" i="27" s="1"/>
  <c r="M31" i="27"/>
  <c r="P31" i="27" s="1"/>
  <c r="M32" i="27"/>
  <c r="P32" i="27" s="1"/>
  <c r="M33" i="27"/>
  <c r="P33" i="27" s="1"/>
  <c r="M34" i="27"/>
  <c r="P34" i="27" s="1"/>
  <c r="M35" i="27"/>
  <c r="P35" i="27" s="1"/>
  <c r="M36" i="27"/>
  <c r="P36" i="27" s="1"/>
  <c r="M37" i="27"/>
  <c r="P37" i="27" s="1"/>
  <c r="M38" i="27"/>
  <c r="P38" i="27" s="1"/>
  <c r="M40" i="27"/>
  <c r="P40" i="27" s="1"/>
  <c r="M42" i="27"/>
  <c r="P42" i="27" s="1"/>
  <c r="M43" i="27"/>
  <c r="P43" i="27" s="1"/>
  <c r="M44" i="27"/>
  <c r="P44" i="27" s="1"/>
  <c r="M45" i="27"/>
  <c r="P45" i="27" s="1"/>
  <c r="M46" i="27"/>
  <c r="P46" i="27" s="1"/>
  <c r="M47" i="27" l="1"/>
  <c r="D40" i="16" s="1"/>
  <c r="N47" i="27"/>
  <c r="F51" i="27"/>
  <c r="L46" i="27"/>
  <c r="O46" i="27" s="1"/>
  <c r="H47" i="27"/>
  <c r="D39" i="16" s="1"/>
  <c r="L5" i="27"/>
  <c r="O5" i="27" s="1"/>
  <c r="E51" i="27" l="1"/>
  <c r="F53" i="27"/>
  <c r="O53" i="27" s="1"/>
  <c r="S5" i="27"/>
  <c r="U5" i="27" s="1"/>
  <c r="S46" i="27"/>
  <c r="U46" i="27" s="1"/>
  <c r="D45" i="16"/>
  <c r="D46" i="16" s="1"/>
  <c r="D50" i="16"/>
  <c r="D51" i="16" s="1"/>
  <c r="Q47" i="27"/>
  <c r="Q53" i="27" s="1"/>
  <c r="D41" i="16"/>
  <c r="L6" i="27"/>
  <c r="L7" i="27"/>
  <c r="L8" i="27"/>
  <c r="L9" i="27"/>
  <c r="L10" i="27"/>
  <c r="L11" i="27"/>
  <c r="L12" i="27"/>
  <c r="L13" i="27"/>
  <c r="L14" i="27"/>
  <c r="L15" i="27"/>
  <c r="L16" i="27"/>
  <c r="L17" i="27"/>
  <c r="L18" i="27"/>
  <c r="L19" i="27"/>
  <c r="L20" i="27"/>
  <c r="L21" i="27"/>
  <c r="L22" i="27"/>
  <c r="L23" i="27"/>
  <c r="L24" i="27"/>
  <c r="L25" i="27"/>
  <c r="O25" i="27" s="1"/>
  <c r="S25" i="27" s="1"/>
  <c r="L26" i="27"/>
  <c r="O26" i="27" s="1"/>
  <c r="S26" i="27" s="1"/>
  <c r="L27" i="27"/>
  <c r="O27" i="27" s="1"/>
  <c r="S27" i="27" s="1"/>
  <c r="L28" i="27"/>
  <c r="O28" i="27" s="1"/>
  <c r="L29" i="27"/>
  <c r="O29" i="27" s="1"/>
  <c r="S29" i="27" s="1"/>
  <c r="L30" i="27"/>
  <c r="O30" i="27" s="1"/>
  <c r="S30" i="27" s="1"/>
  <c r="L31" i="27"/>
  <c r="L32" i="27"/>
  <c r="L33" i="27"/>
  <c r="L37" i="27"/>
  <c r="L38" i="27"/>
  <c r="L39" i="27"/>
  <c r="L40" i="27"/>
  <c r="L41" i="27"/>
  <c r="L42" i="27"/>
  <c r="L43" i="27"/>
  <c r="L44" i="27"/>
  <c r="L45" i="27"/>
  <c r="G47" i="27"/>
  <c r="D34" i="16" s="1"/>
  <c r="F7" i="21"/>
  <c r="L10" i="34"/>
  <c r="K10" i="34"/>
  <c r="L7" i="34" s="1"/>
  <c r="L8" i="34" s="1"/>
  <c r="J10" i="34"/>
  <c r="K7" i="34" s="1"/>
  <c r="K8" i="34" s="1"/>
  <c r="I10" i="34"/>
  <c r="J7" i="34" s="1"/>
  <c r="J8" i="34" s="1"/>
  <c r="H10" i="34"/>
  <c r="I7" i="34" s="1"/>
  <c r="I8" i="34" s="1"/>
  <c r="E13" i="21"/>
  <c r="G13" i="21" s="1"/>
  <c r="H13" i="21" s="1"/>
  <c r="F13" i="21"/>
  <c r="K13" i="21"/>
  <c r="M13" i="21" s="1"/>
  <c r="N13" i="21" s="1"/>
  <c r="L13" i="21"/>
  <c r="Q13" i="21"/>
  <c r="R13" i="21"/>
  <c r="W13" i="21"/>
  <c r="X13" i="21"/>
  <c r="AC13" i="21"/>
  <c r="AD13" i="21"/>
  <c r="AI13" i="21"/>
  <c r="AJ13" i="21"/>
  <c r="AO13" i="21"/>
  <c r="AP13" i="21"/>
  <c r="AU13" i="21"/>
  <c r="AV13" i="21"/>
  <c r="AY13" i="21"/>
  <c r="AZ13" i="21"/>
  <c r="BA13" i="21" s="1"/>
  <c r="S28" i="27" l="1"/>
  <c r="U28" i="27" s="1"/>
  <c r="T5" i="27"/>
  <c r="P47" i="27"/>
  <c r="P53" i="27" s="1"/>
  <c r="T30" i="27"/>
  <c r="T29" i="27"/>
  <c r="T26" i="27"/>
  <c r="T46" i="27"/>
  <c r="L47" i="27"/>
  <c r="D35" i="16" s="1"/>
  <c r="D36" i="16" s="1"/>
  <c r="S13" i="21"/>
  <c r="T13" i="21" s="1"/>
  <c r="D53" i="16" l="1"/>
  <c r="T27" i="27"/>
  <c r="U26" i="27"/>
  <c r="U25" i="27"/>
  <c r="T25" i="27"/>
  <c r="U29" i="27"/>
  <c r="U30" i="27"/>
  <c r="U27" i="27"/>
  <c r="T28" i="27"/>
  <c r="Y13" i="21"/>
  <c r="AE13" i="21"/>
  <c r="Z13" i="21"/>
  <c r="D62" i="16" l="1"/>
  <c r="D55" i="16"/>
  <c r="D57" i="16" s="1"/>
  <c r="D59" i="16" s="1"/>
  <c r="AF13" i="21"/>
  <c r="AK13" i="21"/>
  <c r="D64" i="16" l="1"/>
  <c r="D66" i="16" s="1"/>
  <c r="D68" i="16" s="1"/>
  <c r="AQ13" i="21"/>
  <c r="AL13" i="21"/>
  <c r="AR13" i="21" l="1"/>
  <c r="AW13" i="21"/>
  <c r="AX13" i="21" s="1"/>
  <c r="AV7" i="21" l="1"/>
  <c r="AY26" i="21"/>
  <c r="AZ26" i="21"/>
  <c r="AY8" i="21"/>
  <c r="AZ8" i="21"/>
  <c r="AY9" i="21"/>
  <c r="AZ9" i="21"/>
  <c r="AY10" i="21"/>
  <c r="AZ10" i="21"/>
  <c r="AY11" i="21"/>
  <c r="AZ11" i="21"/>
  <c r="AY12" i="21"/>
  <c r="AZ12" i="21"/>
  <c r="AY14" i="21"/>
  <c r="AZ14" i="21"/>
  <c r="AY16" i="21"/>
  <c r="AZ16" i="21"/>
  <c r="AY17" i="21"/>
  <c r="AZ17" i="21"/>
  <c r="AY18" i="21"/>
  <c r="AZ18" i="21"/>
  <c r="AY19" i="21"/>
  <c r="AZ19" i="21"/>
  <c r="AY20" i="21"/>
  <c r="AZ20" i="21"/>
  <c r="AY21" i="21"/>
  <c r="AZ21" i="21"/>
  <c r="AY22" i="21"/>
  <c r="AZ22" i="21"/>
  <c r="AY23" i="21"/>
  <c r="AZ23" i="21"/>
  <c r="AY24" i="21"/>
  <c r="AZ24" i="21"/>
  <c r="AZ7" i="21"/>
  <c r="AY7" i="21"/>
  <c r="AV26" i="21"/>
  <c r="AU26" i="21"/>
  <c r="AT25" i="21"/>
  <c r="AT27" i="21" s="1"/>
  <c r="AS25" i="21"/>
  <c r="AS27" i="21" s="1"/>
  <c r="AV24" i="21"/>
  <c r="AU24" i="21"/>
  <c r="AV23" i="21"/>
  <c r="AU23" i="21"/>
  <c r="AV22" i="21"/>
  <c r="AU22" i="21"/>
  <c r="AV21" i="21"/>
  <c r="AU21" i="21"/>
  <c r="AV20" i="21"/>
  <c r="AU20" i="21"/>
  <c r="AV19" i="21"/>
  <c r="AU19" i="21"/>
  <c r="AV18" i="21"/>
  <c r="AU18" i="21"/>
  <c r="AV17" i="21"/>
  <c r="AU17" i="21"/>
  <c r="AV16" i="21"/>
  <c r="AU16" i="21"/>
  <c r="AV14" i="21"/>
  <c r="AU14" i="21"/>
  <c r="AV12" i="21"/>
  <c r="AU12" i="21"/>
  <c r="AV11" i="21"/>
  <c r="AU11" i="21"/>
  <c r="AV10" i="21"/>
  <c r="AU10" i="21"/>
  <c r="AV9" i="21"/>
  <c r="AU9" i="21"/>
  <c r="AV8" i="21"/>
  <c r="AU8" i="21"/>
  <c r="AU7" i="21"/>
  <c r="AP26" i="21"/>
  <c r="AO26" i="21"/>
  <c r="AN25" i="21"/>
  <c r="AN27" i="21" s="1"/>
  <c r="AM25" i="21"/>
  <c r="AM27" i="21" s="1"/>
  <c r="AP24" i="21"/>
  <c r="AO24" i="21"/>
  <c r="AP23" i="21"/>
  <c r="AO23" i="21"/>
  <c r="AP22" i="21"/>
  <c r="AO22" i="21"/>
  <c r="AP21" i="21"/>
  <c r="AO21" i="21"/>
  <c r="AP20" i="21"/>
  <c r="AO20" i="21"/>
  <c r="AP19" i="21"/>
  <c r="AO19" i="21"/>
  <c r="AP18" i="21"/>
  <c r="AO18" i="21"/>
  <c r="AP17" i="21"/>
  <c r="AO17" i="21"/>
  <c r="AP16" i="21"/>
  <c r="AO16" i="21"/>
  <c r="AP14" i="21"/>
  <c r="AO14" i="21"/>
  <c r="AP12" i="21"/>
  <c r="AO12" i="21"/>
  <c r="AP11" i="21"/>
  <c r="AO11" i="21"/>
  <c r="AP10" i="21"/>
  <c r="AO10" i="21"/>
  <c r="AP9" i="21"/>
  <c r="AO9" i="21"/>
  <c r="AP8" i="21"/>
  <c r="AO8" i="21"/>
  <c r="AP7" i="21"/>
  <c r="AO7" i="21"/>
  <c r="F26" i="21"/>
  <c r="E26" i="21"/>
  <c r="G26" i="21" s="1"/>
  <c r="H26" i="21" s="1"/>
  <c r="D25" i="21"/>
  <c r="D27" i="21" s="1"/>
  <c r="C25" i="21"/>
  <c r="C27" i="21" s="1"/>
  <c r="F24" i="21"/>
  <c r="E24" i="21"/>
  <c r="F23" i="21"/>
  <c r="E23" i="21"/>
  <c r="G23" i="21" s="1"/>
  <c r="H23" i="21" s="1"/>
  <c r="F22" i="21"/>
  <c r="E22" i="21"/>
  <c r="G22" i="21" s="1"/>
  <c r="H22" i="21" s="1"/>
  <c r="F21" i="21"/>
  <c r="E21" i="21"/>
  <c r="G21" i="21" s="1"/>
  <c r="H21" i="21" s="1"/>
  <c r="F20" i="21"/>
  <c r="E20" i="21"/>
  <c r="G20" i="21" s="1"/>
  <c r="H20" i="21" s="1"/>
  <c r="F19" i="21"/>
  <c r="E19" i="21"/>
  <c r="G19" i="21" s="1"/>
  <c r="H19" i="21" s="1"/>
  <c r="F18" i="21"/>
  <c r="E18" i="21"/>
  <c r="G18" i="21" s="1"/>
  <c r="H18" i="21" s="1"/>
  <c r="F17" i="21"/>
  <c r="E17" i="21"/>
  <c r="G17" i="21" s="1"/>
  <c r="H17" i="21" s="1"/>
  <c r="F16" i="21"/>
  <c r="E16" i="21"/>
  <c r="G16" i="21" s="1"/>
  <c r="H16" i="21" s="1"/>
  <c r="F14" i="21"/>
  <c r="E14" i="21"/>
  <c r="G14" i="21" s="1"/>
  <c r="H14" i="21" s="1"/>
  <c r="F12" i="21"/>
  <c r="E12" i="21"/>
  <c r="G12" i="21" s="1"/>
  <c r="H12" i="21" s="1"/>
  <c r="F11" i="21"/>
  <c r="E11" i="21"/>
  <c r="G11" i="21" s="1"/>
  <c r="H11" i="21" s="1"/>
  <c r="F10" i="21"/>
  <c r="E10" i="21"/>
  <c r="G10" i="21" s="1"/>
  <c r="H10" i="21" s="1"/>
  <c r="F9" i="21"/>
  <c r="E9" i="21"/>
  <c r="G9" i="21" s="1"/>
  <c r="H9" i="21" s="1"/>
  <c r="F8" i="21"/>
  <c r="E8" i="21"/>
  <c r="G8" i="21" s="1"/>
  <c r="H8" i="21" s="1"/>
  <c r="E7" i="21"/>
  <c r="G7" i="21" s="1"/>
  <c r="C10" i="34"/>
  <c r="G24" i="21" l="1"/>
  <c r="G25" i="21" s="1"/>
  <c r="BA7" i="21"/>
  <c r="AY25" i="21"/>
  <c r="AU25" i="21"/>
  <c r="AV25" i="21" s="1"/>
  <c r="AU27" i="21"/>
  <c r="AV27" i="21" s="1"/>
  <c r="AO25" i="21"/>
  <c r="AP25" i="21" s="1"/>
  <c r="AO27" i="21"/>
  <c r="AP27" i="21" s="1"/>
  <c r="AZ25" i="21"/>
  <c r="AZ27" i="21" s="1"/>
  <c r="E25" i="21"/>
  <c r="F25" i="21" s="1"/>
  <c r="E27" i="21"/>
  <c r="G27" i="21" s="1"/>
  <c r="H27" i="21" s="1"/>
  <c r="F10" i="34"/>
  <c r="G10" i="34"/>
  <c r="H7" i="34" s="1"/>
  <c r="H8" i="34" s="1"/>
  <c r="E10" i="34"/>
  <c r="D10" i="34"/>
  <c r="L7" i="21"/>
  <c r="AJ26" i="21"/>
  <c r="AD26" i="21"/>
  <c r="X26" i="21"/>
  <c r="R26" i="21"/>
  <c r="L26" i="21"/>
  <c r="AJ24" i="21"/>
  <c r="AJ23" i="21"/>
  <c r="AJ22" i="21"/>
  <c r="AJ21" i="21"/>
  <c r="AJ20" i="21"/>
  <c r="AJ19" i="21"/>
  <c r="AJ18" i="21"/>
  <c r="AJ17" i="21"/>
  <c r="AJ16" i="21"/>
  <c r="AD24" i="21"/>
  <c r="AD23" i="21"/>
  <c r="AD22" i="21"/>
  <c r="AD21" i="21"/>
  <c r="AD20" i="21"/>
  <c r="AD19" i="21"/>
  <c r="AD18" i="21"/>
  <c r="AD17" i="21"/>
  <c r="AD16" i="21"/>
  <c r="X24" i="21"/>
  <c r="X23" i="21"/>
  <c r="X22" i="21"/>
  <c r="X21" i="21"/>
  <c r="X20" i="21"/>
  <c r="X19" i="21"/>
  <c r="X18" i="21"/>
  <c r="X17" i="21"/>
  <c r="X16" i="21"/>
  <c r="AJ14" i="21"/>
  <c r="AJ12" i="21"/>
  <c r="AJ11" i="21"/>
  <c r="AJ10" i="21"/>
  <c r="AJ9" i="21"/>
  <c r="AJ8" i="21"/>
  <c r="AJ7" i="21"/>
  <c r="AD14" i="21"/>
  <c r="AD12" i="21"/>
  <c r="AD11" i="21"/>
  <c r="AD10" i="21"/>
  <c r="AD9" i="21"/>
  <c r="AD8" i="21"/>
  <c r="AD7" i="21"/>
  <c r="X14" i="21"/>
  <c r="X12" i="21"/>
  <c r="X11" i="21"/>
  <c r="X10" i="21"/>
  <c r="X9" i="21"/>
  <c r="X8" i="21"/>
  <c r="X7" i="21"/>
  <c r="R7" i="21"/>
  <c r="R16" i="21"/>
  <c r="R24" i="21"/>
  <c r="R23" i="21"/>
  <c r="R22" i="21"/>
  <c r="R21" i="21"/>
  <c r="R20" i="21"/>
  <c r="R19" i="21"/>
  <c r="R18" i="21"/>
  <c r="R17" i="21"/>
  <c r="R14" i="21"/>
  <c r="R12" i="21"/>
  <c r="R11" i="21"/>
  <c r="R10" i="21"/>
  <c r="R9" i="21"/>
  <c r="R8" i="21"/>
  <c r="L24" i="21"/>
  <c r="L23" i="21"/>
  <c r="L22" i="21"/>
  <c r="L21" i="21"/>
  <c r="L20" i="21"/>
  <c r="L19" i="21"/>
  <c r="L18" i="21"/>
  <c r="L17" i="21"/>
  <c r="L16" i="21"/>
  <c r="L14" i="21"/>
  <c r="L12" i="21"/>
  <c r="L11" i="21"/>
  <c r="L10" i="21"/>
  <c r="L9" i="21"/>
  <c r="L8" i="21"/>
  <c r="K7" i="21"/>
  <c r="M7" i="21" s="1"/>
  <c r="Q7" i="21"/>
  <c r="W7" i="21"/>
  <c r="AC7" i="21"/>
  <c r="AI7" i="21"/>
  <c r="K8" i="21"/>
  <c r="M8" i="21" s="1"/>
  <c r="Q8" i="21"/>
  <c r="W8" i="21"/>
  <c r="AC8" i="21"/>
  <c r="AI8" i="21"/>
  <c r="BA8" i="21"/>
  <c r="K9" i="21"/>
  <c r="Q9" i="21"/>
  <c r="W9" i="21"/>
  <c r="AC9" i="21"/>
  <c r="AI9" i="21"/>
  <c r="BA9" i="21"/>
  <c r="K10" i="21"/>
  <c r="M10" i="21" s="1"/>
  <c r="Q10" i="21"/>
  <c r="W10" i="21"/>
  <c r="AC10" i="21"/>
  <c r="AI10" i="21"/>
  <c r="K11" i="21"/>
  <c r="M11" i="21" s="1"/>
  <c r="Q11" i="21"/>
  <c r="W11" i="21"/>
  <c r="AC11" i="21"/>
  <c r="AI11" i="21"/>
  <c r="BA11" i="21"/>
  <c r="K12" i="21"/>
  <c r="Q12" i="21"/>
  <c r="W12" i="21"/>
  <c r="AC12" i="21"/>
  <c r="AI12" i="21"/>
  <c r="K14" i="21"/>
  <c r="Q14" i="21"/>
  <c r="W14" i="21"/>
  <c r="AC14" i="21"/>
  <c r="AI14" i="21"/>
  <c r="BA14" i="21"/>
  <c r="K16" i="21"/>
  <c r="Q16" i="21"/>
  <c r="W16" i="21"/>
  <c r="AC16" i="21"/>
  <c r="AI16" i="21"/>
  <c r="BA16" i="21"/>
  <c r="K17" i="21"/>
  <c r="Q17" i="21"/>
  <c r="W17" i="21"/>
  <c r="AC17" i="21"/>
  <c r="AI17" i="21"/>
  <c r="K18" i="21"/>
  <c r="M18" i="21" s="1"/>
  <c r="Q18" i="21"/>
  <c r="W18" i="21"/>
  <c r="AC18" i="21"/>
  <c r="AI18" i="21"/>
  <c r="BA18" i="21"/>
  <c r="K19" i="21"/>
  <c r="Q19" i="21"/>
  <c r="W19" i="21"/>
  <c r="AC19" i="21"/>
  <c r="AI19" i="21"/>
  <c r="BA19" i="21"/>
  <c r="K20" i="21"/>
  <c r="M20" i="21" s="1"/>
  <c r="N20" i="21"/>
  <c r="Q20" i="21"/>
  <c r="W20" i="21"/>
  <c r="AC20" i="21"/>
  <c r="AI20" i="21"/>
  <c r="K21" i="21"/>
  <c r="M21" i="21" s="1"/>
  <c r="Q21" i="21"/>
  <c r="W21" i="21"/>
  <c r="AC21" i="21"/>
  <c r="AI21" i="21"/>
  <c r="K22" i="21"/>
  <c r="Q22" i="21"/>
  <c r="W22" i="21"/>
  <c r="AC22" i="21"/>
  <c r="AI22" i="21"/>
  <c r="K23" i="21"/>
  <c r="Q23" i="21"/>
  <c r="W23" i="21"/>
  <c r="AC23" i="21"/>
  <c r="AI23" i="21"/>
  <c r="BA23" i="21"/>
  <c r="K24" i="21"/>
  <c r="Q24" i="21"/>
  <c r="W24" i="21"/>
  <c r="AC24" i="21"/>
  <c r="AI24" i="21"/>
  <c r="I25" i="21"/>
  <c r="I27" i="21" s="1"/>
  <c r="J25" i="21"/>
  <c r="O25" i="21"/>
  <c r="O27" i="21" s="1"/>
  <c r="P25" i="21"/>
  <c r="P27" i="21" s="1"/>
  <c r="U25" i="21"/>
  <c r="U27" i="21" s="1"/>
  <c r="V25" i="21"/>
  <c r="V27" i="21" s="1"/>
  <c r="AA25" i="21"/>
  <c r="AA27" i="21" s="1"/>
  <c r="AB25" i="21"/>
  <c r="AB27" i="21" s="1"/>
  <c r="AG25" i="21"/>
  <c r="AG27" i="21" s="1"/>
  <c r="AH25" i="21"/>
  <c r="AH27" i="21" s="1"/>
  <c r="K26" i="21"/>
  <c r="Q26" i="21"/>
  <c r="W26" i="21"/>
  <c r="AC26" i="21"/>
  <c r="AI26" i="21"/>
  <c r="BA26" i="21"/>
  <c r="D7" i="34"/>
  <c r="D8" i="34" s="1"/>
  <c r="C8" i="34"/>
  <c r="O35" i="27"/>
  <c r="S35" i="27" s="1"/>
  <c r="O36" i="27"/>
  <c r="S36" i="27" s="1"/>
  <c r="O39" i="27"/>
  <c r="S39" i="27" s="1"/>
  <c r="O40" i="27"/>
  <c r="S40" i="27" s="1"/>
  <c r="O41" i="27"/>
  <c r="S41" i="27" s="1"/>
  <c r="O42" i="27"/>
  <c r="S42" i="27" s="1"/>
  <c r="O43" i="27"/>
  <c r="S43" i="27" s="1"/>
  <c r="O44" i="27"/>
  <c r="S44" i="27" s="1"/>
  <c r="O45" i="27"/>
  <c r="S45" i="27" s="1"/>
  <c r="O37" i="27"/>
  <c r="S37" i="27" s="1"/>
  <c r="O38" i="27"/>
  <c r="S38" i="27" s="1"/>
  <c r="T35" i="27" l="1"/>
  <c r="T37" i="27"/>
  <c r="T42" i="27"/>
  <c r="T40" i="27"/>
  <c r="E7" i="34"/>
  <c r="E8" i="34" s="1"/>
  <c r="F7" i="34" s="1"/>
  <c r="F8" i="34" s="1"/>
  <c r="G7" i="34" s="1"/>
  <c r="G8" i="34" s="1"/>
  <c r="M22" i="21"/>
  <c r="N22" i="21" s="1"/>
  <c r="M14" i="21"/>
  <c r="N14" i="21" s="1"/>
  <c r="M16" i="21"/>
  <c r="N16" i="21" s="1"/>
  <c r="M23" i="21"/>
  <c r="N23" i="21" s="1"/>
  <c r="M17" i="21"/>
  <c r="N17" i="21" s="1"/>
  <c r="N7" i="21"/>
  <c r="S7" i="21"/>
  <c r="T7" i="21" s="1"/>
  <c r="M24" i="21"/>
  <c r="N24" i="21" s="1"/>
  <c r="M12" i="21"/>
  <c r="N12" i="21" s="1"/>
  <c r="H24" i="21"/>
  <c r="M19" i="21"/>
  <c r="N19" i="21" s="1"/>
  <c r="M26" i="21"/>
  <c r="S26" i="21" s="1"/>
  <c r="M9" i="21"/>
  <c r="S9" i="21" s="1"/>
  <c r="T9" i="21" s="1"/>
  <c r="D16" i="16"/>
  <c r="H7" i="21"/>
  <c r="H25" i="21"/>
  <c r="S24" i="21"/>
  <c r="T24" i="21" s="1"/>
  <c r="S14" i="21"/>
  <c r="T14" i="21" s="1"/>
  <c r="AY27" i="21"/>
  <c r="S23" i="21"/>
  <c r="AI27" i="21"/>
  <c r="AJ27" i="21" s="1"/>
  <c r="Q27" i="21"/>
  <c r="R27" i="21" s="1"/>
  <c r="BA24" i="21"/>
  <c r="BA17" i="21"/>
  <c r="AC27" i="21"/>
  <c r="AD27" i="21" s="1"/>
  <c r="F27" i="21"/>
  <c r="J27" i="21"/>
  <c r="K27" i="21" s="1"/>
  <c r="S22" i="21"/>
  <c r="T22" i="21" s="1"/>
  <c r="BA22" i="21"/>
  <c r="BA12" i="21"/>
  <c r="BA21" i="21"/>
  <c r="BA20" i="21"/>
  <c r="BA10" i="21"/>
  <c r="W27" i="21"/>
  <c r="X27" i="21" s="1"/>
  <c r="N10" i="21"/>
  <c r="S12" i="21"/>
  <c r="T12" i="21" s="1"/>
  <c r="S16" i="21"/>
  <c r="T16" i="21" s="1"/>
  <c r="S19" i="21"/>
  <c r="T19" i="21" s="1"/>
  <c r="W25" i="21"/>
  <c r="X25" i="21" s="1"/>
  <c r="N21" i="21"/>
  <c r="S17" i="21"/>
  <c r="T17" i="21" s="1"/>
  <c r="N11" i="21"/>
  <c r="AC25" i="21"/>
  <c r="AD25" i="21" s="1"/>
  <c r="S20" i="21"/>
  <c r="T20" i="21" s="1"/>
  <c r="AI25" i="21"/>
  <c r="AJ25" i="21" s="1"/>
  <c r="K25" i="21"/>
  <c r="L25" i="21" s="1"/>
  <c r="N18" i="21"/>
  <c r="N8" i="21"/>
  <c r="Q25" i="21"/>
  <c r="R25" i="21" s="1"/>
  <c r="U36" i="27" l="1"/>
  <c r="T41" i="27"/>
  <c r="U42" i="27"/>
  <c r="T43" i="27"/>
  <c r="U44" i="27"/>
  <c r="U37" i="27"/>
  <c r="T44" i="27"/>
  <c r="T38" i="27"/>
  <c r="U35" i="27"/>
  <c r="T39" i="27"/>
  <c r="U40" i="27"/>
  <c r="U45" i="27"/>
  <c r="U43" i="27"/>
  <c r="U39" i="27"/>
  <c r="U41" i="27"/>
  <c r="T36" i="27"/>
  <c r="U38" i="27"/>
  <c r="T45" i="27"/>
  <c r="N9" i="21"/>
  <c r="Y14" i="21"/>
  <c r="Z14" i="21" s="1"/>
  <c r="N26" i="21"/>
  <c r="M27" i="21"/>
  <c r="S27" i="21" s="1"/>
  <c r="T27" i="21" s="1"/>
  <c r="Y24" i="21"/>
  <c r="Z24" i="21" s="1"/>
  <c r="Y23" i="21"/>
  <c r="Z23" i="21" s="1"/>
  <c r="T23" i="21"/>
  <c r="S10" i="21"/>
  <c r="BA25" i="21"/>
  <c r="BA27" i="21"/>
  <c r="L27" i="21"/>
  <c r="Y22" i="21"/>
  <c r="Z22" i="21" s="1"/>
  <c r="Y9" i="21"/>
  <c r="Z9" i="21" s="1"/>
  <c r="M25" i="21"/>
  <c r="N25" i="21" s="1"/>
  <c r="S8" i="21"/>
  <c r="T8" i="21" s="1"/>
  <c r="T26" i="21"/>
  <c r="Y16" i="21"/>
  <c r="Z16" i="21" s="1"/>
  <c r="S18" i="21"/>
  <c r="T18" i="21" s="1"/>
  <c r="AE14" i="21"/>
  <c r="AF14" i="21" s="1"/>
  <c r="Y17" i="21"/>
  <c r="Z17" i="21" s="1"/>
  <c r="S21" i="21"/>
  <c r="T21" i="21" s="1"/>
  <c r="Y12" i="21"/>
  <c r="Z12" i="21" s="1"/>
  <c r="Y19" i="21"/>
  <c r="Z19" i="21" s="1"/>
  <c r="Y20" i="21"/>
  <c r="Z20" i="21" s="1"/>
  <c r="S11" i="21"/>
  <c r="T11" i="21" s="1"/>
  <c r="D18" i="16"/>
  <c r="D19" i="16"/>
  <c r="D20" i="16"/>
  <c r="D21" i="16"/>
  <c r="D25" i="16"/>
  <c r="D26" i="16"/>
  <c r="D30" i="16"/>
  <c r="D31" i="16"/>
  <c r="N27" i="21" l="1"/>
  <c r="AE23" i="21"/>
  <c r="AF23" i="21" s="1"/>
  <c r="AE24" i="21"/>
  <c r="AF24" i="21" s="1"/>
  <c r="D28" i="16"/>
  <c r="D27" i="16"/>
  <c r="D17" i="16"/>
  <c r="D33" i="16"/>
  <c r="D32" i="16"/>
  <c r="D23" i="16"/>
  <c r="D22" i="16"/>
  <c r="D29" i="16"/>
  <c r="Y10" i="21"/>
  <c r="Z10" i="21" s="1"/>
  <c r="T10" i="21"/>
  <c r="AE22" i="21"/>
  <c r="AF22" i="21" s="1"/>
  <c r="Y7" i="21"/>
  <c r="Z7" i="21" s="1"/>
  <c r="Y18" i="21"/>
  <c r="Z18" i="21" s="1"/>
  <c r="Y8" i="21"/>
  <c r="Z8" i="21" s="1"/>
  <c r="S25" i="21"/>
  <c r="T25" i="21" s="1"/>
  <c r="AE17" i="21"/>
  <c r="AF17" i="21" s="1"/>
  <c r="AK14" i="21"/>
  <c r="AL14" i="21" s="1"/>
  <c r="Y26" i="21"/>
  <c r="Z26" i="21" s="1"/>
  <c r="Y21" i="21"/>
  <c r="Z21" i="21" s="1"/>
  <c r="Y11" i="21"/>
  <c r="Z11" i="21" s="1"/>
  <c r="AE20" i="21"/>
  <c r="AF20" i="21" s="1"/>
  <c r="AE16" i="21"/>
  <c r="AF16" i="21" s="1"/>
  <c r="AE9" i="21"/>
  <c r="AF9" i="21" s="1"/>
  <c r="AE19" i="21"/>
  <c r="AF19" i="21" s="1"/>
  <c r="Y27" i="21"/>
  <c r="Z27" i="21" s="1"/>
  <c r="AE12" i="21"/>
  <c r="AF12" i="21" s="1"/>
  <c r="O31" i="27"/>
  <c r="S31" i="27" s="1"/>
  <c r="O32" i="27"/>
  <c r="S32" i="27" s="1"/>
  <c r="O33" i="27"/>
  <c r="S33" i="27" s="1"/>
  <c r="O34" i="27"/>
  <c r="S34" i="27" s="1"/>
  <c r="O6" i="27"/>
  <c r="S6" i="27" s="1"/>
  <c r="O7" i="27"/>
  <c r="O8" i="27"/>
  <c r="S8" i="27" s="1"/>
  <c r="O9" i="27"/>
  <c r="S9" i="27" s="1"/>
  <c r="O10" i="27"/>
  <c r="S10" i="27" s="1"/>
  <c r="O11" i="27"/>
  <c r="S11" i="27" s="1"/>
  <c r="O12" i="27"/>
  <c r="S12" i="27" s="1"/>
  <c r="O13" i="27"/>
  <c r="S13" i="27" s="1"/>
  <c r="O14" i="27"/>
  <c r="S14" i="27" s="1"/>
  <c r="O15" i="27"/>
  <c r="S15" i="27" s="1"/>
  <c r="O16" i="27"/>
  <c r="S16" i="27" s="1"/>
  <c r="O17" i="27"/>
  <c r="S17" i="27" s="1"/>
  <c r="O18" i="27"/>
  <c r="S18" i="27" s="1"/>
  <c r="O19" i="27"/>
  <c r="S19" i="27" s="1"/>
  <c r="O20" i="27"/>
  <c r="S20" i="27" s="1"/>
  <c r="O21" i="27"/>
  <c r="S21" i="27" s="1"/>
  <c r="O22" i="27"/>
  <c r="S22" i="27" s="1"/>
  <c r="O23" i="27"/>
  <c r="S23" i="27" s="1"/>
  <c r="O24" i="27"/>
  <c r="S24" i="27" s="1"/>
  <c r="S7" i="27" l="1"/>
  <c r="U7" i="27" s="1"/>
  <c r="U6" i="27"/>
  <c r="T19" i="27"/>
  <c r="T31" i="27"/>
  <c r="T15" i="27"/>
  <c r="T34" i="27"/>
  <c r="T11" i="27"/>
  <c r="T18" i="27"/>
  <c r="T24" i="27"/>
  <c r="T20" i="27"/>
  <c r="T12" i="27"/>
  <c r="O47" i="27"/>
  <c r="AK24" i="21"/>
  <c r="AL24" i="21" s="1"/>
  <c r="AK23" i="21"/>
  <c r="AL23" i="21" s="1"/>
  <c r="AE10" i="21"/>
  <c r="AF10" i="21" s="1"/>
  <c r="AK22" i="21"/>
  <c r="AL22" i="21" s="1"/>
  <c r="AQ14" i="21"/>
  <c r="AR14" i="21" s="1"/>
  <c r="AQ22" i="21"/>
  <c r="AR22" i="21" s="1"/>
  <c r="AE7" i="21"/>
  <c r="AE27" i="21"/>
  <c r="AF27" i="21" s="1"/>
  <c r="AE26" i="21"/>
  <c r="AF26" i="21" s="1"/>
  <c r="AK19" i="21"/>
  <c r="AL19" i="21" s="1"/>
  <c r="AK20" i="21"/>
  <c r="AL20" i="21" s="1"/>
  <c r="AE11" i="21"/>
  <c r="AF11" i="21" s="1"/>
  <c r="AE8" i="21"/>
  <c r="AF8" i="21" s="1"/>
  <c r="Y25" i="21"/>
  <c r="Z25" i="21" s="1"/>
  <c r="AK12" i="21"/>
  <c r="AL12" i="21" s="1"/>
  <c r="AK16" i="21"/>
  <c r="AL16" i="21" s="1"/>
  <c r="AK9" i="21"/>
  <c r="AL9" i="21" s="1"/>
  <c r="AE21" i="21"/>
  <c r="AF21" i="21" s="1"/>
  <c r="AK17" i="21"/>
  <c r="AL17" i="21" s="1"/>
  <c r="AE18" i="21"/>
  <c r="AF18" i="21" s="1"/>
  <c r="T10" i="27" l="1"/>
  <c r="S47" i="27"/>
  <c r="S53" i="27" s="1"/>
  <c r="T14" i="27"/>
  <c r="U14" i="27"/>
  <c r="U34" i="27"/>
  <c r="U31" i="27"/>
  <c r="T6" i="27"/>
  <c r="T13" i="27"/>
  <c r="T22" i="27"/>
  <c r="T21" i="27"/>
  <c r="T32" i="27"/>
  <c r="T17" i="27"/>
  <c r="T7" i="27"/>
  <c r="T9" i="27"/>
  <c r="T33" i="27"/>
  <c r="U18" i="27"/>
  <c r="U15" i="27"/>
  <c r="U19" i="27"/>
  <c r="U12" i="27"/>
  <c r="U11" i="27"/>
  <c r="T23" i="27"/>
  <c r="U8" i="27"/>
  <c r="U24" i="27"/>
  <c r="T8" i="27"/>
  <c r="U20" i="27"/>
  <c r="T16" i="27"/>
  <c r="U10" i="27"/>
  <c r="U22" i="27"/>
  <c r="U9" i="27"/>
  <c r="U13" i="27"/>
  <c r="U23" i="27"/>
  <c r="U32" i="27"/>
  <c r="U33" i="27"/>
  <c r="U21" i="27"/>
  <c r="U16" i="27"/>
  <c r="U17" i="27"/>
  <c r="AQ24" i="21"/>
  <c r="AR24" i="21" s="1"/>
  <c r="AQ23" i="21"/>
  <c r="AR23" i="21" s="1"/>
  <c r="AK10" i="21"/>
  <c r="AL10" i="21" s="1"/>
  <c r="AK7" i="21"/>
  <c r="AF7" i="21"/>
  <c r="AW22" i="21"/>
  <c r="AX22" i="21" s="1"/>
  <c r="AW14" i="21"/>
  <c r="AX14" i="21" s="1"/>
  <c r="AW24" i="21"/>
  <c r="AX24" i="21" s="1"/>
  <c r="AQ9" i="21"/>
  <c r="AR9" i="21" s="1"/>
  <c r="AQ19" i="21"/>
  <c r="AR19" i="21" s="1"/>
  <c r="AQ16" i="21"/>
  <c r="AR16" i="21" s="1"/>
  <c r="AQ12" i="21"/>
  <c r="AR12" i="21" s="1"/>
  <c r="AQ10" i="21"/>
  <c r="AR10" i="21" s="1"/>
  <c r="AQ17" i="21"/>
  <c r="AR17" i="21" s="1"/>
  <c r="AQ20" i="21"/>
  <c r="AR20" i="21" s="1"/>
  <c r="AK8" i="21"/>
  <c r="AL8" i="21" s="1"/>
  <c r="AE25" i="21"/>
  <c r="AF25" i="21" s="1"/>
  <c r="AK11" i="21"/>
  <c r="AL11" i="21" s="1"/>
  <c r="AK26" i="21"/>
  <c r="AL26" i="21" s="1"/>
  <c r="AK21" i="21"/>
  <c r="AL21" i="21" s="1"/>
  <c r="AK18" i="21"/>
  <c r="AL18" i="21" s="1"/>
  <c r="AK27" i="21"/>
  <c r="AL27" i="21" s="1"/>
  <c r="T47" i="27" l="1"/>
  <c r="AW23" i="21"/>
  <c r="AX23" i="21" s="1"/>
  <c r="AQ7" i="21"/>
  <c r="AL7" i="21"/>
  <c r="AW12" i="21"/>
  <c r="AX12" i="21" s="1"/>
  <c r="AW16" i="21"/>
  <c r="AX16" i="21" s="1"/>
  <c r="AW17" i="21"/>
  <c r="AX17" i="21" s="1"/>
  <c r="AW19" i="21"/>
  <c r="AX19" i="21" s="1"/>
  <c r="AW20" i="21"/>
  <c r="AX20" i="21" s="1"/>
  <c r="AW10" i="21"/>
  <c r="AX10" i="21" s="1"/>
  <c r="AW9" i="21"/>
  <c r="AX9" i="21" s="1"/>
  <c r="AQ11" i="21"/>
  <c r="AR11" i="21" s="1"/>
  <c r="AQ27" i="21"/>
  <c r="AR27" i="21" s="1"/>
  <c r="AQ26" i="21"/>
  <c r="AR26" i="21" s="1"/>
  <c r="AQ8" i="21"/>
  <c r="AR8" i="21" s="1"/>
  <c r="AQ18" i="21"/>
  <c r="AR18" i="21" s="1"/>
  <c r="AQ21" i="21"/>
  <c r="AR21" i="21" s="1"/>
  <c r="AK25" i="21"/>
  <c r="AL25" i="21" s="1"/>
  <c r="T53" i="27" l="1"/>
  <c r="T64" i="27"/>
  <c r="AR7" i="21"/>
  <c r="AW7" i="21"/>
  <c r="AW21" i="21"/>
  <c r="AX21" i="21" s="1"/>
  <c r="AW27" i="21"/>
  <c r="AX27" i="21" s="1"/>
  <c r="AW26" i="21"/>
  <c r="AX26" i="21" s="1"/>
  <c r="AW8" i="21"/>
  <c r="AX8" i="21" s="1"/>
  <c r="AW18" i="21"/>
  <c r="AX18" i="21" s="1"/>
  <c r="AW11" i="21"/>
  <c r="AX11" i="21" s="1"/>
  <c r="AQ25" i="21"/>
  <c r="AR25" i="21" s="1"/>
  <c r="AX7" i="21" l="1"/>
  <c r="AW25" i="21"/>
  <c r="AX2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6" authorId="0" shapeId="0" xr:uid="{63759CC6-58FA-4059-BFC1-28A0DA9305DC}">
      <text>
        <r>
          <rPr>
            <b/>
            <sz val="9"/>
            <color indexed="81"/>
            <rFont val="Tahoma"/>
            <family val="2"/>
          </rPr>
          <t>Autor:</t>
        </r>
        <r>
          <rPr>
            <sz val="9"/>
            <color indexed="81"/>
            <rFont val="Tahoma"/>
            <family val="2"/>
          </rPr>
          <t xml:space="preserve">
Should be taken from Row 27 of the "Actuals + Forecast" tab
</t>
        </r>
      </text>
    </comment>
    <comment ref="B7" authorId="0" shapeId="0" xr:uid="{78AEEC8F-1680-4CC0-961F-D7219D57DAC1}">
      <text>
        <r>
          <rPr>
            <b/>
            <sz val="9"/>
            <color indexed="81"/>
            <rFont val="Tahoma"/>
            <family val="2"/>
          </rPr>
          <t>Autor:</t>
        </r>
        <r>
          <rPr>
            <sz val="9"/>
            <color indexed="81"/>
            <rFont val="Tahoma"/>
            <family val="2"/>
          </rPr>
          <t xml:space="preserve">
The figure added/removed from the forecast. Based on the value remaining from the previous quarter</t>
        </r>
      </text>
    </comment>
    <comment ref="B8" authorId="0" shapeId="0" xr:uid="{E11AFA9D-EAF7-4DD8-8D32-ED4620B67E46}">
      <text>
        <r>
          <rPr>
            <b/>
            <sz val="9"/>
            <color indexed="81"/>
            <rFont val="Tahoma"/>
            <family val="2"/>
          </rPr>
          <t>Autor:</t>
        </r>
        <r>
          <rPr>
            <sz val="9"/>
            <color indexed="81"/>
            <rFont val="Tahoma"/>
            <family val="2"/>
          </rPr>
          <t xml:space="preserve">
This is the value the invoice for the quarter should have.</t>
        </r>
      </text>
    </comment>
    <comment ref="B9" authorId="0" shapeId="0" xr:uid="{538E9126-E945-4543-91ED-7A32CFAE97D3}">
      <text>
        <r>
          <rPr>
            <b/>
            <sz val="9"/>
            <color indexed="81"/>
            <rFont val="Tahoma"/>
            <family val="2"/>
          </rPr>
          <t>Autor:</t>
        </r>
        <r>
          <rPr>
            <sz val="9"/>
            <color indexed="81"/>
            <rFont val="Tahoma"/>
            <family val="2"/>
          </rPr>
          <t xml:space="preserve">
The actual amount spent for the quarter, should match the total from Row 36 of the summary</t>
        </r>
      </text>
    </comment>
    <comment ref="B10" authorId="0" shapeId="0" xr:uid="{D21C5B4C-25F1-4BC8-9915-1C029FE98085}">
      <text>
        <r>
          <rPr>
            <b/>
            <sz val="9"/>
            <color indexed="81"/>
            <rFont val="Tahoma"/>
            <family val="2"/>
          </rPr>
          <t>Autor:</t>
        </r>
        <r>
          <rPr>
            <sz val="9"/>
            <color indexed="81"/>
            <rFont val="Tahoma"/>
            <family val="2"/>
          </rPr>
          <t xml:space="preserve">
The difference between the amount advanced and what was actually spent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46" authorId="0" shapeId="0" xr:uid="{C25F6C26-3A3E-4A0D-8224-07B8E91E66D0}">
      <text>
        <r>
          <rPr>
            <sz val="11"/>
            <color indexed="8"/>
            <rFont val="Calibri"/>
            <family val="2"/>
          </rPr>
          <t>[Threaded comment]
Your version of Excel allows you to read this threaded comment; however, any edits to it will get removed if the file is opened in a newer version of Excel. Learn more: https://go.microsoft.com/fwlink/?linkid=870924
Comment:
    This value would need to be included.
To do this, you would need to reduce some other line(s) that are underspending in the same proportion.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46" authorId="0" shapeId="0" xr:uid="{C5E775E6-FCE3-4A26-A27B-C5CE000452B0}">
      <text>
        <r>
          <rPr>
            <sz val="11"/>
            <color indexed="8"/>
            <rFont val="Calibri"/>
            <family val="2"/>
          </rPr>
          <t>[Threaded comment]
Your version of Excel allows you to read this threaded comment; however, any edits to it will get removed if the file is opened in a newer version of Excel. Learn more: https://go.microsoft.com/fwlink/?linkid=870924
Comment:
    This value would need to be included.
To do this, you would need to reduce some other line(s) that are underspending in the same proportion.</t>
        </r>
      </text>
    </comment>
  </commentList>
</comments>
</file>

<file path=xl/sharedStrings.xml><?xml version="1.0" encoding="utf-8"?>
<sst xmlns="http://schemas.openxmlformats.org/spreadsheetml/2006/main" count="696" uniqueCount="351">
  <si>
    <t>UK PACT Financial Reporting Template - Interim GRCF</t>
  </si>
  <si>
    <t>Project name:</t>
  </si>
  <si>
    <t>Improving forest monitoring capabilities and supporting deforestation reduction in Bolivia</t>
  </si>
  <si>
    <t>Project reference number:</t>
  </si>
  <si>
    <t>MRV\80</t>
  </si>
  <si>
    <t>Lead implementer (organisation) name:</t>
  </si>
  <si>
    <t>UNDP</t>
  </si>
  <si>
    <t xml:space="preserve">Report period: </t>
  </si>
  <si>
    <t>July - September</t>
  </si>
  <si>
    <t>Financial year:</t>
  </si>
  <si>
    <t>2024/25</t>
  </si>
  <si>
    <t>Financial report summary</t>
  </si>
  <si>
    <t>Q1</t>
  </si>
  <si>
    <t>Principal expert</t>
  </si>
  <si>
    <t>Senior expert</t>
  </si>
  <si>
    <t>Expert</t>
  </si>
  <si>
    <t>Junior expert</t>
  </si>
  <si>
    <t>Assistant to expert</t>
  </si>
  <si>
    <t>Project Manager</t>
  </si>
  <si>
    <t>Support Staff</t>
  </si>
  <si>
    <t>Admin assistant</t>
  </si>
  <si>
    <t>Travel international</t>
  </si>
  <si>
    <t>Travel domestic</t>
  </si>
  <si>
    <t>Accommodation and subsistence</t>
  </si>
  <si>
    <t>Workshop/Event</t>
  </si>
  <si>
    <t>Translation and interpretation</t>
  </si>
  <si>
    <t>Print Fees</t>
  </si>
  <si>
    <t>Other</t>
  </si>
  <si>
    <t>Other - Communications</t>
  </si>
  <si>
    <t>Other - Capital</t>
  </si>
  <si>
    <t>Total Direct costs</t>
  </si>
  <si>
    <t>Overheads total</t>
  </si>
  <si>
    <t>Grand total</t>
  </si>
  <si>
    <t>Q2</t>
  </si>
  <si>
    <t>Q3</t>
  </si>
  <si>
    <t>Q4</t>
  </si>
  <si>
    <t>Grand total Q1 + Q2 + Q3 + Q4</t>
  </si>
  <si>
    <t>GMS + Levy (9%)</t>
  </si>
  <si>
    <t>Total</t>
  </si>
  <si>
    <t>% Executed</t>
  </si>
  <si>
    <t>Underspend</t>
  </si>
  <si>
    <t>&gt; Recurso no utilizado</t>
  </si>
  <si>
    <t>&gt; Corresponde al recurso no utilizado</t>
  </si>
  <si>
    <t>&gt; Por resolver. Reembolsar a FCDO</t>
  </si>
  <si>
    <t>% Not Executed</t>
  </si>
  <si>
    <t>Advance payment reconcilitation</t>
  </si>
  <si>
    <t>Payment 1</t>
  </si>
  <si>
    <t>Payment 2</t>
  </si>
  <si>
    <t>Payment 3</t>
  </si>
  <si>
    <t>Payment 4</t>
  </si>
  <si>
    <t>Payment 5</t>
  </si>
  <si>
    <t>Payment 6</t>
  </si>
  <si>
    <t>Payment 7</t>
  </si>
  <si>
    <t>Payment 8</t>
  </si>
  <si>
    <t>Payment 9</t>
  </si>
  <si>
    <t>Payment 10</t>
  </si>
  <si>
    <t>Total Forecast Expenditure</t>
  </si>
  <si>
    <t xml:space="preserve">Adjustment </t>
  </si>
  <si>
    <t>Total for Advance Payment</t>
  </si>
  <si>
    <t>Actual Expenditure</t>
  </si>
  <si>
    <t>Value remaining</t>
  </si>
  <si>
    <t>Expenditure forecasts</t>
  </si>
  <si>
    <t>Expenditure by category</t>
  </si>
  <si>
    <t>Expenditure prior to Q4 22/23</t>
  </si>
  <si>
    <t>Q4 FY22/23</t>
  </si>
  <si>
    <t>Q1 FY23/24</t>
  </si>
  <si>
    <t>Q2 FY23/24</t>
  </si>
  <si>
    <t>Q3 FY23/24</t>
  </si>
  <si>
    <t>Q4 FY23/24</t>
  </si>
  <si>
    <t>FY 2024/2025</t>
  </si>
  <si>
    <t>FY 2025/2026</t>
  </si>
  <si>
    <t>Total Expenditure</t>
  </si>
  <si>
    <t>Category</t>
  </si>
  <si>
    <t>Sub-Category</t>
  </si>
  <si>
    <t xml:space="preserve"> Total per grant agreement</t>
  </si>
  <si>
    <t>Total Claimed</t>
  </si>
  <si>
    <t>Variance</t>
  </si>
  <si>
    <t>Variance %</t>
  </si>
  <si>
    <t>Cumulative Variance</t>
  </si>
  <si>
    <t>Cumulative Variance %</t>
  </si>
  <si>
    <t xml:space="preserve"> Total for quarter per grant agreement</t>
  </si>
  <si>
    <t>Total Claimed /Latest Forecast</t>
  </si>
  <si>
    <t>Quarterly Variance</t>
  </si>
  <si>
    <t>Quarterly Variance %</t>
  </si>
  <si>
    <t xml:space="preserve"> Total for year per grant agreement</t>
  </si>
  <si>
    <t>Latest Forecast</t>
  </si>
  <si>
    <t>Grand total per grant agreement</t>
  </si>
  <si>
    <t>Total Claimed + Latest Forecast</t>
  </si>
  <si>
    <t>Personnel</t>
  </si>
  <si>
    <t xml:space="preserve">Project Manager </t>
  </si>
  <si>
    <t xml:space="preserve">Admin assistant </t>
  </si>
  <si>
    <t xml:space="preserve">Other - Communications </t>
  </si>
  <si>
    <t>Subtotal</t>
  </si>
  <si>
    <t>Transaction list</t>
  </si>
  <si>
    <t>Line</t>
  </si>
  <si>
    <t>Task name</t>
  </si>
  <si>
    <t>Date completed</t>
  </si>
  <si>
    <t>Evidence supplied for task completion</t>
  </si>
  <si>
    <t>Planned total expenditure
(GBP)</t>
  </si>
  <si>
    <t>Total direct expenditure Q1
(GBP)</t>
  </si>
  <si>
    <t>Total direct expenditure Q2
(GBP)2</t>
  </si>
  <si>
    <t>Total direct expenditure Q3
(GBP)3</t>
  </si>
  <si>
    <t>Total direct expenditure Q4
(GBP)4</t>
  </si>
  <si>
    <t>Overhead %</t>
  </si>
  <si>
    <t>Overhead Q1 total</t>
  </si>
  <si>
    <t>Overhead Q2 total2</t>
  </si>
  <si>
    <t>Overhead Q3 total3</t>
  </si>
  <si>
    <t>Actual total expenditure (Dec2023) Q1</t>
  </si>
  <si>
    <t>Actual total expenditure (Mar2024) Q2</t>
  </si>
  <si>
    <t>Actual total expenditure (Jun2024) Q3</t>
  </si>
  <si>
    <t>Actual total expenditure (Sep2024) Q4</t>
  </si>
  <si>
    <t>Total expenditure Q1+Q2+Q3+Q4</t>
  </si>
  <si>
    <t>Expenditure in percentage</t>
    <phoneticPr fontId="24" type="noConversion"/>
  </si>
  <si>
    <t>Palladium Notes</t>
  </si>
  <si>
    <t>UNDP Notes</t>
  </si>
  <si>
    <t>Notes3</t>
  </si>
  <si>
    <t>1.1.</t>
  </si>
  <si>
    <t>Developing the design for Calibration/Validation, overseeing measurements, preparing data analysis, and documenting outcomes</t>
  </si>
  <si>
    <t>Q2 and ongoing</t>
  </si>
  <si>
    <t>El presupuesto asignado para esta actividad, estaba planificado antes de recibir los recursos de UK.
La sede de UK realizó el desembolso de GBP 436,276.57, monto que ingresó a la cuenta del PNUD en fecha 28/09/2023 a un tipo de cambio, haciendo un total de USD 522,906.70.</t>
  </si>
  <si>
    <t>1.2.</t>
  </si>
  <si>
    <t>Arranging logistical aspects of on-site measurements, documenting sites and measurements, and consolidating measurements</t>
  </si>
  <si>
    <t>1.3.</t>
  </si>
  <si>
    <t>Logging measurement records (dbh)</t>
  </si>
  <si>
    <t>1.4.</t>
  </si>
  <si>
    <t>Gauging log height</t>
  </si>
  <si>
    <t>1.5.</t>
  </si>
  <si>
    <t>Identifying and enrolling tree species</t>
  </si>
  <si>
    <t>1.6.</t>
  </si>
  <si>
    <t>Enrolling data</t>
  </si>
  <si>
    <t>1.7.</t>
  </si>
  <si>
    <t>Preparing the site</t>
  </si>
  <si>
    <t>Q3 and ongoing</t>
  </si>
  <si>
    <t>Se envía en el link adjunto al correo</t>
  </si>
  <si>
    <t>1.8.</t>
  </si>
  <si>
    <t>Creating the LiDAR processing sequence, processing LiDAR canopy height measurements, and harmonizing LiDAR, SAR and ground measurements in aerial and spatial contexts</t>
  </si>
  <si>
    <t>1.9.</t>
  </si>
  <si>
    <t>Constructing the emissions monitoring framework for degradation-related assessments, charting burned forest extent and logging effects, delineating annual degradation, and computing associated emissions</t>
  </si>
  <si>
    <t>1.10.</t>
  </si>
  <si>
    <t>Detecting land cover via LiDAR sensors</t>
  </si>
  <si>
    <t>Evidence 1.10 folder</t>
  </si>
  <si>
    <t>1.11.</t>
  </si>
  <si>
    <t>Developing progress reports and results monitoring in each area</t>
  </si>
  <si>
    <t>1.12.</t>
  </si>
  <si>
    <t>Establishing GESI Initiative 1: Mainstreaming Inclusion</t>
  </si>
  <si>
    <t>1.13.</t>
  </si>
  <si>
    <t>Establishing GESI Initiative 2: Diverse and Representative Teams</t>
  </si>
  <si>
    <t>1.14.</t>
  </si>
  <si>
    <t>Formulating the conceptual and analytical framework</t>
  </si>
  <si>
    <t>1.15.</t>
  </si>
  <si>
    <t>Overseeing and tracking the work plan</t>
  </si>
  <si>
    <t>1.16.</t>
  </si>
  <si>
    <t>Managing technical and administrative aspects</t>
  </si>
  <si>
    <t>1.17.</t>
  </si>
  <si>
    <t>Devising training programs</t>
  </si>
  <si>
    <t>1.18.</t>
  </si>
  <si>
    <t>Assembling and refining technical and financial reports</t>
  </si>
  <si>
    <t>1.19.</t>
  </si>
  <si>
    <t>Formulating administrative procedures</t>
  </si>
  <si>
    <t>1.20.</t>
  </si>
  <si>
    <t>Creating financial reports</t>
  </si>
  <si>
    <t>Q2 - Q3 and ongoing</t>
  </si>
  <si>
    <t>2.1.</t>
  </si>
  <si>
    <t>Creating Quality Assurance/Quality Control (QA/QC) procedures</t>
  </si>
  <si>
    <t>Q1 - Q2 and ongoing</t>
  </si>
  <si>
    <t>Evidence 2.1 folder</t>
  </si>
  <si>
    <t>2.2.</t>
  </si>
  <si>
    <t>Compiling geodatabases, programming web interfaces, and configuring the Geoserver</t>
  </si>
  <si>
    <t>Evidence 2.2 folder</t>
  </si>
  <si>
    <t>2.3.</t>
  </si>
  <si>
    <t>Collecting Landsat/Sentinel 2 time series data for Pando, conducting land use classification after deforestation, and assessing thematic accuracy of maps</t>
  </si>
  <si>
    <t>2.4.</t>
  </si>
  <si>
    <t>Collecting Landsat/Sentinel 2 time series data for Charagua, conducting land use classification after deforestation, and assessing thematic accuracy of maps</t>
  </si>
  <si>
    <t>2.5.</t>
  </si>
  <si>
    <t>Identifying annual degradation patterns and evaluating thematic precision of maps in Pando</t>
  </si>
  <si>
    <t>2.6.</t>
  </si>
  <si>
    <t>Identifying annual degradation patterns and evaluating thematic precision of maps in Charagua</t>
  </si>
  <si>
    <t>2.7.</t>
  </si>
  <si>
    <t>2.8.</t>
  </si>
  <si>
    <t>Establishing GESI Initiative 3: Participation and Empowerment</t>
  </si>
  <si>
    <t>2.9.</t>
  </si>
  <si>
    <t>Establishing GESI Initiative 4: Data Collection for Informed Action</t>
  </si>
  <si>
    <t>2.10.</t>
  </si>
  <si>
    <t>Creating consultation modules for Charagua and Pando</t>
  </si>
  <si>
    <t>2.11.</t>
  </si>
  <si>
    <t>Conducting training workshops</t>
  </si>
  <si>
    <t>2.12.</t>
  </si>
  <si>
    <t>Ticket handling</t>
  </si>
  <si>
    <t>2.13.</t>
  </si>
  <si>
    <t>Managing travel expenses</t>
  </si>
  <si>
    <t>3.2.</t>
  </si>
  <si>
    <t>Formulating the legal and institutional structure for safeguards</t>
  </si>
  <si>
    <t>3.3.</t>
  </si>
  <si>
    <t>Providing technical support for safeguard management</t>
  </si>
  <si>
    <t>3.4.</t>
  </si>
  <si>
    <t>Enhancing and building local governance capabilities</t>
  </si>
  <si>
    <t>3.5.</t>
  </si>
  <si>
    <t>Fostering coordination within the territory</t>
  </si>
  <si>
    <t>3.6.</t>
  </si>
  <si>
    <t>Delivering specialized technical training programs</t>
  </si>
  <si>
    <t>3.7.</t>
  </si>
  <si>
    <t>3.8.</t>
  </si>
  <si>
    <t>Establishing GESI Initiative 5: Enhancing Capacity and Opportunities</t>
  </si>
  <si>
    <t>3.9.</t>
  </si>
  <si>
    <t>Establishing GESI Initiative 6: Promoting GESI Awareness</t>
  </si>
  <si>
    <t>3.10.</t>
  </si>
  <si>
    <t>Administrative assistance</t>
  </si>
  <si>
    <t>LEVY 1% SEGÚN DOCUMENTO DE PROYECTO FIRMADO (COBRADO AL MOMENTO DE DEPOSITO)</t>
  </si>
  <si>
    <t>GMS SEGÚN DOCUMENTO DE PROYECTO 8% (SE COBRARA A MEDIDA QUE SE REALICE EL GASTO)</t>
  </si>
  <si>
    <t>Valor del informe anterior ↑</t>
  </si>
  <si>
    <t xml:space="preserve">TOTAL ACUERDO </t>
  </si>
  <si>
    <t>Correct total acuerdo</t>
  </si>
  <si>
    <t xml:space="preserve">Nota: La celda H39 reporta una ejecución de 2,431.95 libras esterlinas conforme a las actividades del proyecto, sin embargo, se ha generado un gasto por tipo de cambio de USD. 286,25 equivalentes a 229 libras esterlinas, este monto no cobra GMS, razón por la cual en la celda K39 no figura una fórmula. </t>
  </si>
  <si>
    <t>Fórmula (celda K39)</t>
  </si>
  <si>
    <t>Palladium note (09/09/2024):</t>
  </si>
  <si>
    <t>The total project value was paid 100% in advance.
OH 8% and Levy 1% were charged, totaling 9%.
The project budget includes OH and Levy on the total project value and not on each output task, so we are removing this from the Financial Report column J, to have only the expense value, since HO and Levy are highlighted in the lines at the end of the FR. Note that with this adjustment, the % of resource usage of each line reduces in column S, but we understand that all the resource available to the project will be used until the end of the project implementation.</t>
  </si>
  <si>
    <t>Variance Justification</t>
  </si>
  <si>
    <t>In the following box can you please provide justification for any variance in spend from your previous forecast, that was provided through the Budget on Summary tab.</t>
  </si>
  <si>
    <r>
      <t xml:space="preserve">Ex:
In the previous quarter, an expenditure of GBP xxx was forecast for this quarter, however tasks x-y-z (list task name/number) were not carried out, due to factors a-b-c, leading to an underspend of GBP xxx.
</t>
    </r>
    <r>
      <rPr>
        <b/>
        <i/>
        <sz val="11"/>
        <color rgb="FF000000"/>
        <rFont val="Calibri"/>
        <family val="2"/>
      </rPr>
      <t>(it serves to justify an entire task, which was planned and was not executed - details about underspend for an executed task will be described in the "Transaction list" tab).</t>
    </r>
    <r>
      <rPr>
        <sz val="11"/>
        <color rgb="FF000000"/>
        <rFont val="Calibri"/>
        <family val="2"/>
      </rPr>
      <t xml:space="preserve">
The tasks and their respective costs were relocated to the x-y-z quarter and are adjusted in the current Budget, thus providing a new forecast.
</t>
    </r>
    <r>
      <rPr>
        <b/>
        <i/>
        <sz val="11"/>
        <color rgb="FF000000"/>
        <rFont val="Calibri"/>
        <family val="2"/>
      </rPr>
      <t>(remember to adjust the other QPR documents, Annex 8, Results Report, GESI Assessment, etc., so that they also reflect the new deadlines where tasks are expected).</t>
    </r>
    <r>
      <rPr>
        <sz val="11"/>
        <color rgb="FF000000"/>
        <rFont val="Calibri"/>
        <family val="2"/>
      </rPr>
      <t xml:space="preserve">
List measures being taken to avoid similar delays in the future (if any that are within your control).
</t>
    </r>
    <r>
      <rPr>
        <b/>
        <i/>
        <sz val="11"/>
        <color rgb="FF000000"/>
        <rFont val="Calibri"/>
        <family val="2"/>
      </rPr>
      <t>The same example can be used (with some adjustments) in the case of overspend, if activities are carried out ahead of schedule, thus anticipating costs that were expected for the coming quarters.</t>
    </r>
  </si>
  <si>
    <t xml:space="preserve">Direct Costs Range Guidance and Evidence Requirements </t>
  </si>
  <si>
    <t>Important: Budgets, including day rates, will be assessed as part of the call for proposals process. Day rates should be in line with local market rates and should also provide value for money – allowing projects to hire the right staff, with the right skills, at the right price. The suggested price ranges for personnel provided below include a cap for the maximum cost of day rates we will accept as part of proposals. Please bear in mind that this is ODA funding so value for money will be subject to high levels of scrutiny. Prices must reflect the accurate costs of delivering particular outputs or activities and costs must be able to be evidenced and justified. Attention should be paid to the types of evidence that will be required when completing grant claims for each cost.</t>
  </si>
  <si>
    <t>Cost Category</t>
  </si>
  <si>
    <t>Indicative Cost Range</t>
  </si>
  <si>
    <t>Note</t>
  </si>
  <si>
    <t>Types of evidence that should be retained</t>
  </si>
  <si>
    <t xml:space="preserve">Profit </t>
  </si>
  <si>
    <t>N/A</t>
  </si>
  <si>
    <t xml:space="preserve">The UK PACT Country Programmes does not count profit as an eligible cost either within direct costs or within overheads. </t>
  </si>
  <si>
    <t>Desktops, laptops, printers, scanners, cameras, etc</t>
  </si>
  <si>
    <t>The UK PACT Country Programmes does not support this category. If the project needs to purchase items in this category, please seek funding from other sources.</t>
  </si>
  <si>
    <t>Office rental</t>
  </si>
  <si>
    <t xml:space="preserve">The UK PACT Country Programmes does not support this category. If the project needs to purchase items in this category, please seek funding from other sources. This cost is eligible as an overhead. </t>
  </si>
  <si>
    <t>Salaries (excluding labour charged by day rate – please see below)</t>
  </si>
  <si>
    <t>Payment for Beneficiaries and/or Government officials to attend meetings, seminars, etc.</t>
  </si>
  <si>
    <t>Communications costs</t>
  </si>
  <si>
    <t>Communications and branding costs count as Direct Project Costs and therefore should be included in budget. However, please note, there is limited available budget for communications costs within UK PACT budgets. All communications costs are allocated from a finite central budget which covers all UK PACT programmes. The overarching principle that indicates whether costs should be classified as communications is that costs directly related to disseminating project outputs should not be classified as communications, whereas costs relating to the wider promotion of your project would be classified as communications. For further guidance please see the UK PACT Country Programmes Applicant Handbook in the Country Programmes Opportunities Portal.</t>
  </si>
  <si>
    <t>Principal expert/day (8 hours)
(expert who provides essential international expertise needed for the research/study)</t>
  </si>
  <si>
    <t>Dependant on cost of employment 
(maximum £1000)</t>
  </si>
  <si>
    <t xml:space="preserve">The level of pay across the project team should reflect the nature of work and seniority of implementers. All rates must be based on the cost of employing that specific individual on the project. UK PACT may carry our own benchmarking to ensure the rates proposed represent Value for Money. </t>
  </si>
  <si>
    <t>Timesheet</t>
  </si>
  <si>
    <t>Senior expert/day (8 hours) (expert who provides key consultancy and analytical work for the research/study)</t>
  </si>
  <si>
    <t>Dependant on cost of employment 
(maximum £800)</t>
  </si>
  <si>
    <t xml:space="preserve">Expert/day (8 hours) (expert who provides general consultancy and analytical work for the research/study) </t>
  </si>
  <si>
    <t>Dependant on cost of employment 
(maximum £550)</t>
  </si>
  <si>
    <t>Junior expert/day (8 hours)  (personnel that provide entry-level analytical and consultancy work for the research/study)</t>
  </si>
  <si>
    <t>Dependant on cost of employment  
(maximum £450)</t>
  </si>
  <si>
    <t>Assistant to expert/day (8 hours) (assist the experts to collect information, carry out research, interviews, etc.)</t>
  </si>
  <si>
    <t>Dependant on cost of employment  
(maximum £350)</t>
  </si>
  <si>
    <t>Project manager/day (8 hours)</t>
  </si>
  <si>
    <t>Dependant on cost of employment  
(maximum £500)</t>
  </si>
  <si>
    <t>Support staff/day (8 hours)</t>
  </si>
  <si>
    <t>Dependant on cost of employment 
(maximum £400)</t>
  </si>
  <si>
    <t>Admin assistant/day (8 hours)</t>
  </si>
  <si>
    <t>Dependant on cost of employment  
(maximum £150)</t>
  </si>
  <si>
    <t>The person day consultancy cost shall be based on accumulative basis. For example, if the person spends 2 hours a day for project and rest of 6 hours on non-project work, the total cost for 4 working days shall be calculated in the budget as 1 person day (counting 8 working hours as 1 full working day).</t>
  </si>
  <si>
    <t xml:space="preserve">Accommodation and subsistence per person/day.  </t>
  </si>
  <si>
    <t>Hotel: Market rate - Maximum £120           
Meals: Market rate - Maximum £30</t>
  </si>
  <si>
    <t xml:space="preserve">Prices are the maximum allowed to spend per day, per person. But costs should reflect the market rate.
Note that meals include: breakfast, lunch and dinner. 
Costs are expected to be reasonable and accurate </t>
  </si>
  <si>
    <t>Original itemised receipt provided by the vendor
or customer’s copy of charge/credit card slip</t>
  </si>
  <si>
    <t>Domestic Travel</t>
  </si>
  <si>
    <t xml:space="preserve">Travel costs, including taxis to/from airports, hotels, project events or beneficiary meetings 
can be reimbursed with evidence of need.   </t>
  </si>
  <si>
    <t xml:space="preserve">Flights </t>
  </si>
  <si>
    <t xml:space="preserve">All need to take economy class for both domestic and international flights. </t>
  </si>
  <si>
    <t>Original itemised receipt provided by the vendor,
or a credit card statement if a receipt is not available and an itemised receipt is not required,
or a passenger invoice/itinerary</t>
  </si>
  <si>
    <t xml:space="preserve">Event venue cost per person/Day
</t>
  </si>
  <si>
    <r>
      <t xml:space="preserve">Market rate. Cost may vary, but evidence on Value for money should be provided. </t>
    </r>
    <r>
      <rPr>
        <sz val="10"/>
        <rFont val="Muli"/>
      </rPr>
      <t xml:space="preserve">(e.g. requesting 3 quotes) </t>
    </r>
  </si>
  <si>
    <t xml:space="preserve">This should be the baseline standard that includes: 1 meeting conference room for 8 hours; 1 buffet lunch; 2 coffee/snack breaks; basic audio-visual equipment; pen, writing pads, and iced water etc.   </t>
  </si>
  <si>
    <t>Payment receipt along with the conference agenda showing the cost breakdowns (including receipts where applicable), topic of discussion and proof of payment</t>
  </si>
  <si>
    <t>Consecutive and simultaneous interpretation</t>
  </si>
  <si>
    <t>Market rate - Maximum £325</t>
  </si>
  <si>
    <t>This applies to interpretation carried out within the target country and internationally for one full working day</t>
  </si>
  <si>
    <t>Timesheet
or Invoice of services</t>
  </si>
  <si>
    <t>Translation</t>
  </si>
  <si>
    <t>Print fees</t>
  </si>
  <si>
    <t>Market rate</t>
  </si>
  <si>
    <t>Itemised receipt from vendor</t>
  </si>
  <si>
    <t>If you select "other" under cost category, please provide a description of the costs relevance to the project.</t>
  </si>
  <si>
    <t>Relevant evidence, dependent on cost type</t>
  </si>
  <si>
    <t xml:space="preserve">Note 1: Administrative cost/overheads should be reasonable and will be reviewed by the UK PACT Team. Costs included as direct project costs must not be duplicated as overheads – for example, a specific member of staff's salary should be removed from indirect costs if it is being charged as a direct cost for this project. For more details on what constitutes an eligible cost, please refer to the UK PACT Country Programmes Applicant Handook which you will find on the Country Programmes Opportunities Portal. 
</t>
  </si>
  <si>
    <t xml:space="preserve">Permanent </t>
  </si>
  <si>
    <t>Fixed term</t>
  </si>
  <si>
    <t>Sub-contractor</t>
  </si>
  <si>
    <t>National (Personnel based in country where project is being delivered)</t>
  </si>
  <si>
    <t>International (Personnel based outside country where project is being delivered)</t>
  </si>
  <si>
    <t>Actual total expenditure (Jun2024) Q4</t>
  </si>
  <si>
    <t>Notes</t>
  </si>
  <si>
    <t>Notes2</t>
  </si>
  <si>
    <t>The line is overspending. Explain here why more resources were used for this activity.
Note that you will have to spend less on some other line, to stay within the Budget, or else, assume the extra expenses with your own resources.</t>
  </si>
  <si>
    <t>Según el presupuesto aprobado por UK, el sobregiro es de GBP 264.84, monto que se encuentra por debajo de GBP 10k autorizados por UK.</t>
  </si>
  <si>
    <t>Las variaciones inferiores o superiores al 10% (del monto total aprobado en el presupuesto para la línea) deben justificarse.
En este caso no procede la justificación, pero hay que tener en cuenta que se gastaron 264,84 GBP más que la cantidad presupuestada.
UK PACT no pagará este aumento de gastos y UNDP tendrá que ahorrar esta cantidad en algún otro gasto del proyecto, o pagarlo con sus propios recursos.</t>
  </si>
  <si>
    <t>El monto no está sobregirado porque esta partida fue reformulada</t>
  </si>
  <si>
    <t>Inform if this is a single expense up to 10k, if yes, will require evidence.</t>
  </si>
  <si>
    <t>Se adjunta evidencia</t>
  </si>
  <si>
    <t>¿Puedes enviar la factura?</t>
  </si>
  <si>
    <t>Se adjunta factura</t>
  </si>
  <si>
    <t xml:space="preserve">Según el presupuesto aprobado por UK, el sobregiro es de GBP 33.10, monto que se encuentra por debajo de GBP 10k autorizados por UK.
</t>
  </si>
  <si>
    <t>El mismo comentario hecho en la celda V7 se aplica aquí.</t>
  </si>
  <si>
    <t>No Corresponde a un gasto de FAN</t>
  </si>
  <si>
    <t>Según el presupuesto aprobado por UK, el sobregiro es de GBP 2,344.12, monto que se encuentra por debajo de GBP 10k autorizados por UK.
(Se espera respuesta de la FAN)</t>
  </si>
  <si>
    <r>
      <t>¡Quizás aquí tengamos un malentendido!
Un gasto individual que cueste más de 10.000 GBP debe tener un documento contable justificativo (factura, etc.).
Se deberán justificar variaciones inferiores o superiores al 10% (del importe total aprobado en el supuesto de la línea).
El monto gastado en esta línea es un 49 % superior al monto presupuestado,</t>
    </r>
    <r>
      <rPr>
        <sz val="11"/>
        <color rgb="FFFF0000"/>
        <rFont val="Calibri"/>
        <family val="2"/>
      </rPr>
      <t xml:space="preserve"> así que solo proporcione una oración que explique por qué ocurrió este gasto adicional.</t>
    </r>
    <r>
      <rPr>
        <sz val="11"/>
        <color indexed="8"/>
        <rFont val="Calibri"/>
        <family val="2"/>
      </rPr>
      <t xml:space="preserve">
UK PACT no pagará este aumento de gasto y el PNUD tendrá que ahorrar esta cantidad en algún otro gasto del proyecto, o pagarlo con sus propios recursos.</t>
    </r>
  </si>
  <si>
    <t>Esta partida fue reformulada</t>
  </si>
  <si>
    <t>DETALLE PRESUPUESTO PROYECTO EN LIBRAS Y DOLARES AMERICANOS</t>
  </si>
  <si>
    <t>PRESUPUESTO EN LIBRAS ESTERLINAS</t>
  </si>
  <si>
    <t xml:space="preserve">PRESUPUESTO EN DOLARES AMERICANOS </t>
  </si>
  <si>
    <t>DESEMBOLSO RECIBIDO EN DOLARES AMERICANOS DE UK</t>
  </si>
  <si>
    <t xml:space="preserve">Ejecución </t>
  </si>
  <si>
    <t>GMS</t>
  </si>
  <si>
    <t>Levy</t>
  </si>
  <si>
    <t>Staff list</t>
  </si>
  <si>
    <r>
      <t xml:space="preserve">Name 
</t>
    </r>
    <r>
      <rPr>
        <sz val="10"/>
        <color theme="0"/>
        <rFont val="Muli"/>
      </rPr>
      <t>Name and surname of person</t>
    </r>
  </si>
  <si>
    <r>
      <t xml:space="preserve">Sub-Category
</t>
    </r>
    <r>
      <rPr>
        <sz val="10"/>
        <color theme="0"/>
        <rFont val="Muli"/>
      </rPr>
      <t>Role of personnel on project</t>
    </r>
  </si>
  <si>
    <r>
      <t xml:space="preserve"> Day Rate in Local Currency
</t>
    </r>
    <r>
      <rPr>
        <sz val="10"/>
        <color theme="0"/>
        <rFont val="Muli"/>
      </rPr>
      <t xml:space="preserve">The cost to the organisation to emply that individual for one day
</t>
    </r>
  </si>
  <si>
    <r>
      <t xml:space="preserve">Number of Days Worked
</t>
    </r>
    <r>
      <rPr>
        <sz val="10"/>
        <color theme="0"/>
        <rFont val="Muli"/>
      </rPr>
      <t>Number of days the employee has worked on the project to date</t>
    </r>
  </si>
  <si>
    <r>
      <t xml:space="preserve">Organisation
</t>
    </r>
    <r>
      <rPr>
        <sz val="10"/>
        <color theme="0"/>
        <rFont val="Muli"/>
      </rPr>
      <t>Which consortium member the individual will be employed by</t>
    </r>
  </si>
  <si>
    <r>
      <t xml:space="preserve">Location
</t>
    </r>
    <r>
      <rPr>
        <sz val="10"/>
        <color theme="0"/>
        <rFont val="Muli"/>
      </rPr>
      <t xml:space="preserve">
Where the person is based </t>
    </r>
  </si>
  <si>
    <r>
      <t xml:space="preserve">
Employment Type
</t>
    </r>
    <r>
      <rPr>
        <sz val="10"/>
        <color theme="0"/>
        <rFont val="Muli"/>
      </rPr>
      <t>The contract type under which the individual is employed by the organisation</t>
    </r>
    <r>
      <rPr>
        <b/>
        <sz val="10"/>
        <color theme="0"/>
        <rFont val="Muli"/>
      </rPr>
      <t xml:space="preserve">
</t>
    </r>
  </si>
  <si>
    <r>
      <rPr>
        <b/>
        <sz val="10"/>
        <color theme="0"/>
        <rFont val="Muli"/>
      </rPr>
      <t xml:space="preserve">Start date
</t>
    </r>
    <r>
      <rPr>
        <sz val="10"/>
        <color theme="0"/>
        <rFont val="Muli"/>
      </rPr>
      <t xml:space="preserve">
Date the employee began working on the project</t>
    </r>
  </si>
  <si>
    <r>
      <rPr>
        <b/>
        <sz val="10"/>
        <color theme="0"/>
        <rFont val="Muli"/>
      </rPr>
      <t xml:space="preserve">End date
</t>
    </r>
    <r>
      <rPr>
        <sz val="10"/>
        <color theme="0"/>
        <rFont val="Muli"/>
      </rPr>
      <t xml:space="preserve">
Date the employee ceased working on the project</t>
    </r>
  </si>
  <si>
    <t>Please add more rows as necessary</t>
  </si>
  <si>
    <t>"The budget allocated for this activity was planned before receiving the resources from the UK.
The UK headquarters disbursed GBP 436,276.57, an amount that entered the UNDP account on 28/09/2023 at an exchange rate, making a total of USD 522,906.70."</t>
  </si>
  <si>
    <t>No individual expenditure above GBP 10k</t>
  </si>
  <si>
    <t>The total project value was paid 100% in advance.
OH 8% and Levy 1% were charged, totaling 9%.
The project budget includes OH and Levy on the total project value and not on each output task, so we are removing this from the Financial Report column J, to have only the expense value, since HO and Levy are highlighted in the lines at the end of the FR (lines 50-51). Note that with this adjustment, the % of resource usage of each line reduces in column S, but we understand that all the resource available to the project will be used until the end of the project implementation.</t>
  </si>
  <si>
    <r>
      <t xml:space="preserve">Valor más alto reportado ahora </t>
    </r>
    <r>
      <rPr>
        <sz val="11"/>
        <color rgb="FFFF0000"/>
        <rFont val="Aptos Narrow"/>
        <family val="2"/>
      </rPr>
      <t>↓</t>
    </r>
  </si>
  <si>
    <t>Underspend del informe anterior ↑</t>
  </si>
  <si>
    <r>
      <t xml:space="preserve">Valor más bajo reportado ahora </t>
    </r>
    <r>
      <rPr>
        <sz val="11"/>
        <color rgb="FFFF0000"/>
        <rFont val="Aptos Narrow"/>
        <family val="2"/>
      </rPr>
      <t>↓</t>
    </r>
  </si>
  <si>
    <t>Underspend final &gt;</t>
  </si>
  <si>
    <t>Veré cómo resolver esto.</t>
  </si>
  <si>
    <t>¿Puedes enviar la factura GBP 11k? Ok, solved.</t>
  </si>
  <si>
    <t>¿Puedes enviar la factura GBP 14K? Ok, solved.</t>
  </si>
  <si>
    <t>¿Puedes enviar la factura GBP 16K? Ok, solved.</t>
  </si>
  <si>
    <t>¿Puedes enviar todas las facturas GBP 3K y 44k? Ok, solved.</t>
  </si>
  <si>
    <t>¿Puedes enviar la factura GBP 11k? Ok, solved. Ok, solved.</t>
  </si>
  <si>
    <t>Proporcione una breve explicación de por qué no utilizaron todo el recurso en esta actividad. Ok, solved.</t>
  </si>
  <si>
    <t>Informado en el informe anterior &gt;</t>
  </si>
  <si>
    <t>← Misma explicación.</t>
  </si>
  <si>
    <t>USD 30/10/24</t>
  </si>
  <si>
    <t xml:space="preserve">↑ Reporte Reconciliado (GBP 1.00 a USD 1.19857).
Este monto se genero debido a la diferencia de tipo de cambio, utilizado en el momento del reporte a UK  1 dolar por 0.8 libra a Marzo de 2024, tipo de cambio errado ya que el desembolso de UK (pago adelantado) fue de 1 libra a 1.19857 dólares americanos.
</t>
  </si>
  <si>
    <t>Monto del acuerdo GBP</t>
  </si>
  <si>
    <t>Cobro levy 1%</t>
  </si>
  <si>
    <t>Monto de GMS 8% GBP</t>
  </si>
  <si>
    <t>Monto Total EJECUCION GBP</t>
  </si>
  <si>
    <t>Monto levy 1% GBP</t>
  </si>
  <si>
    <t>MONTO SEGÚN ACUERDO UK  EFECTIVAMENTE EJECUTADO</t>
  </si>
  <si>
    <t>MONTO CALCULADO POR UKPACT EN SU SISTEMA</t>
  </si>
  <si>
    <t xml:space="preserve">Monde ejecucion 9% GBP </t>
  </si>
  <si>
    <t>GMS 8% GBP</t>
  </si>
  <si>
    <t>INCORRECTO</t>
  </si>
  <si>
    <t>CORRECTO</t>
  </si>
  <si>
    <t>ERROR GENERADO</t>
  </si>
  <si>
    <t xml:space="preserve">Nota:  Según acuerdo no hay un cobro general de 9%
            El GMS 8% solo se cobra de la ejecucion del proyecto   sin levy
</t>
  </si>
  <si>
    <t>Monte ejecucion 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</si>
</sst>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4" formatCode="_-&quot;£&quot;* #,##0.00_-;\-&quot;£&quot;* #,##0.00_-;_-&quot;£&quot;* &quot;-&quot;??_-;_-@_-"/>
    <numFmt numFmtId="43" formatCode="_-* #,##0.00_-;\-* #,##0.00_-;_-* &quot;-&quot;??_-;_-@_-"/>
    <numFmt numFmtId="164" formatCode="_(* #,##0.00_);_(* \(#,##0.00\);_(* &quot;-&quot;??_);_(@_)"/>
    <numFmt numFmtId="165" formatCode="&quot;£&quot;#,##0"/>
    <numFmt numFmtId="166" formatCode="&quot;£&quot;#,##0.00"/>
    <numFmt numFmtId="167" formatCode="[$USD]\ #,##0.00"/>
    <numFmt numFmtId="168" formatCode="[$USD]\ #,##0.00000"/>
  </numFmts>
  <fonts count="47">
    <font>
      <sz val="11"/>
      <color indexed="8"/>
      <name val="Calibri"/>
      <family val="2"/>
    </font>
    <font>
      <sz val="10"/>
      <name val="Arial"/>
      <family val="2"/>
    </font>
    <font>
      <sz val="11"/>
      <color indexed="8"/>
      <name val="Calibri"/>
      <family val="2"/>
    </font>
    <font>
      <b/>
      <sz val="14"/>
      <name val="Muli"/>
    </font>
    <font>
      <b/>
      <sz val="10"/>
      <color rgb="FFFF0000"/>
      <name val="Muli"/>
    </font>
    <font>
      <b/>
      <sz val="10"/>
      <name val="Muli"/>
    </font>
    <font>
      <sz val="11"/>
      <color indexed="8"/>
      <name val="Muli"/>
    </font>
    <font>
      <b/>
      <sz val="11"/>
      <color theme="0"/>
      <name val="Muli"/>
    </font>
    <font>
      <b/>
      <sz val="10"/>
      <color theme="0"/>
      <name val="Muli"/>
    </font>
    <font>
      <sz val="10"/>
      <color indexed="8"/>
      <name val="Muli"/>
    </font>
    <font>
      <b/>
      <sz val="11"/>
      <color indexed="8"/>
      <name val="Muli"/>
    </font>
    <font>
      <b/>
      <sz val="10"/>
      <color theme="0" tint="-4.9989318521683403E-2"/>
      <name val="Muli"/>
    </font>
    <font>
      <sz val="10"/>
      <color theme="0" tint="-4.9989318521683403E-2"/>
      <name val="Muli"/>
    </font>
    <font>
      <b/>
      <sz val="9"/>
      <color theme="0"/>
      <name val="Muli"/>
    </font>
    <font>
      <sz val="12"/>
      <color theme="0"/>
      <name val="Muli"/>
    </font>
    <font>
      <sz val="10"/>
      <color theme="0"/>
      <name val="Muli"/>
    </font>
    <font>
      <sz val="10"/>
      <name val="Muli"/>
    </font>
    <font>
      <sz val="12"/>
      <color indexed="8"/>
      <name val="Calibri"/>
      <family val="2"/>
    </font>
    <font>
      <b/>
      <sz val="14"/>
      <color theme="0"/>
      <name val="Muli"/>
    </font>
    <font>
      <sz val="11"/>
      <color theme="0"/>
      <name val="Muli"/>
    </font>
    <font>
      <sz val="12"/>
      <color indexed="8"/>
      <name val="Muli"/>
    </font>
    <font>
      <i/>
      <sz val="10"/>
      <color rgb="FFFF0000"/>
      <name val="Muli"/>
    </font>
    <font>
      <sz val="9"/>
      <color indexed="81"/>
      <name val="Tahoma"/>
      <family val="2"/>
    </font>
    <font>
      <b/>
      <sz val="9"/>
      <color indexed="81"/>
      <name val="Tahoma"/>
      <family val="2"/>
    </font>
    <font>
      <sz val="8"/>
      <name val="Calibri"/>
      <family val="2"/>
    </font>
    <font>
      <b/>
      <sz val="14"/>
      <color theme="5"/>
      <name val="Muli"/>
    </font>
    <font>
      <sz val="12"/>
      <color theme="1"/>
      <name val="Muli"/>
    </font>
    <font>
      <sz val="10"/>
      <color rgb="FF000000"/>
      <name val="Muli"/>
    </font>
    <font>
      <b/>
      <sz val="11"/>
      <color rgb="FF000000"/>
      <name val="Muli"/>
    </font>
    <font>
      <sz val="10"/>
      <color theme="1"/>
      <name val="Muli"/>
    </font>
    <font>
      <sz val="11"/>
      <color rgb="FFFF0000"/>
      <name val="Muli"/>
    </font>
    <font>
      <sz val="11"/>
      <name val="Calibri"/>
      <family val="2"/>
    </font>
    <font>
      <b/>
      <sz val="11"/>
      <color indexed="8"/>
      <name val="Calibri"/>
      <family val="2"/>
    </font>
    <font>
      <b/>
      <sz val="11"/>
      <color rgb="FFFF0000"/>
      <name val="Calibri"/>
      <family val="2"/>
    </font>
    <font>
      <sz val="6"/>
      <name val="ＭＳ Ｐゴシック"/>
      <family val="3"/>
      <charset val="128"/>
    </font>
    <font>
      <b/>
      <sz val="11"/>
      <name val="Calibri"/>
      <family val="2"/>
    </font>
    <font>
      <sz val="11"/>
      <color rgb="FF000000"/>
      <name val="Calibri"/>
      <family val="2"/>
    </font>
    <font>
      <b/>
      <i/>
      <sz val="11"/>
      <color rgb="FF000000"/>
      <name val="Calibri"/>
      <family val="2"/>
    </font>
    <font>
      <sz val="11"/>
      <color rgb="FFFF0000"/>
      <name val="Calibri"/>
      <family val="2"/>
    </font>
    <font>
      <b/>
      <sz val="20"/>
      <color indexed="8"/>
      <name val="Calibri"/>
      <family val="2"/>
    </font>
    <font>
      <b/>
      <sz val="18"/>
      <color indexed="8"/>
      <name val="Calibri"/>
      <family val="2"/>
    </font>
    <font>
      <sz val="20"/>
      <color indexed="8"/>
      <name val="Calibri"/>
      <family val="2"/>
    </font>
    <font>
      <sz val="11"/>
      <color theme="1"/>
      <name val="Calibri"/>
      <family val="2"/>
    </font>
    <font>
      <sz val="11"/>
      <color indexed="8"/>
      <name val="Aptos Narrow"/>
      <family val="2"/>
    </font>
    <font>
      <sz val="10"/>
      <color rgb="FFFF0000"/>
      <name val="Muli"/>
    </font>
    <font>
      <b/>
      <sz val="11"/>
      <color theme="0"/>
      <name val="Calibri"/>
      <family val="2"/>
    </font>
    <font>
      <sz val="11"/>
      <color rgb="FFFF0000"/>
      <name val="Aptos Narrow"/>
      <family val="2"/>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001E62"/>
        <bgColor indexed="64"/>
      </patternFill>
    </fill>
    <fill>
      <patternFill patternType="solid">
        <fgColor rgb="FF878787"/>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71"/>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s>
  <borders count="7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medium">
        <color theme="0"/>
      </left>
      <right style="medium">
        <color theme="0"/>
      </right>
      <top style="medium">
        <color theme="0"/>
      </top>
      <bottom style="medium">
        <color theme="0"/>
      </bottom>
      <diagonal/>
    </border>
    <border>
      <left style="medium">
        <color theme="0"/>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theme="0"/>
      </bottom>
      <diagonal/>
    </border>
    <border>
      <left/>
      <right/>
      <top style="thin">
        <color theme="0"/>
      </top>
      <bottom style="thin">
        <color indexed="64"/>
      </bottom>
      <diagonal/>
    </border>
    <border>
      <left style="thin">
        <color theme="0" tint="-4.9989318521683403E-2"/>
      </left>
      <right style="thin">
        <color indexed="64"/>
      </right>
      <top style="thin">
        <color indexed="64"/>
      </top>
      <bottom style="thin">
        <color theme="0"/>
      </bottom>
      <diagonal/>
    </border>
    <border>
      <left style="thin">
        <color theme="0" tint="-4.9989318521683403E-2"/>
      </left>
      <right style="thin">
        <color indexed="64"/>
      </right>
      <top style="thin">
        <color theme="0"/>
      </top>
      <bottom style="thin">
        <color theme="0"/>
      </bottom>
      <diagonal/>
    </border>
    <border>
      <left style="thin">
        <color theme="0" tint="-4.9989318521683403E-2"/>
      </left>
      <right style="thin">
        <color indexed="64"/>
      </right>
      <top style="thin">
        <color theme="0"/>
      </top>
      <bottom style="thin">
        <color indexed="64"/>
      </bottom>
      <diagonal/>
    </border>
    <border>
      <left style="medium">
        <color theme="0"/>
      </left>
      <right style="medium">
        <color theme="0"/>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theme="0" tint="-4.9989318521683403E-2"/>
      </left>
      <right style="thin">
        <color indexed="64"/>
      </right>
      <top style="thin">
        <color theme="0"/>
      </top>
      <bottom/>
      <diagonal/>
    </border>
    <border>
      <left/>
      <right style="thin">
        <color theme="0" tint="-4.9989318521683403E-2"/>
      </right>
      <top style="thin">
        <color theme="0"/>
      </top>
      <bottom style="thin">
        <color theme="0"/>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s>
  <cellStyleXfs count="11">
    <xf numFmtId="0" fontId="0" fillId="0" borderId="0"/>
    <xf numFmtId="0" fontId="1" fillId="0" borderId="0"/>
    <xf numFmtId="9" fontId="1"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324">
    <xf numFmtId="0" fontId="0" fillId="0" borderId="0" xfId="0"/>
    <xf numFmtId="0" fontId="6" fillId="2" borderId="0" xfId="0" applyFont="1" applyFill="1"/>
    <xf numFmtId="0" fontId="6" fillId="8" borderId="0" xfId="0" applyFont="1" applyFill="1" applyAlignment="1">
      <alignment wrapText="1"/>
    </xf>
    <xf numFmtId="0" fontId="6" fillId="8" borderId="0" xfId="0" applyFont="1" applyFill="1"/>
    <xf numFmtId="0" fontId="3" fillId="2" borderId="0" xfId="0" applyFont="1" applyFill="1" applyAlignment="1" applyProtection="1">
      <alignment vertical="center"/>
      <protection locked="0"/>
    </xf>
    <xf numFmtId="0" fontId="4" fillId="2" borderId="0" xfId="0" applyFont="1" applyFill="1" applyAlignment="1" applyProtection="1">
      <alignment horizontal="right"/>
      <protection locked="0"/>
    </xf>
    <xf numFmtId="0" fontId="6" fillId="2" borderId="0" xfId="0" applyFont="1" applyFill="1" applyProtection="1">
      <protection locked="0"/>
    </xf>
    <xf numFmtId="0" fontId="6" fillId="8" borderId="0" xfId="0" applyFont="1" applyFill="1" applyAlignment="1" applyProtection="1">
      <alignment wrapText="1"/>
      <protection locked="0"/>
    </xf>
    <xf numFmtId="166" fontId="9" fillId="10" borderId="13" xfId="0" applyNumberFormat="1" applyFont="1" applyFill="1" applyBorder="1" applyAlignment="1">
      <alignment horizontal="center"/>
    </xf>
    <xf numFmtId="9" fontId="9" fillId="10" borderId="13" xfId="3" applyFont="1" applyFill="1" applyBorder="1" applyAlignment="1" applyProtection="1">
      <alignment horizontal="center"/>
    </xf>
    <xf numFmtId="9" fontId="9" fillId="10" borderId="15" xfId="3" applyFont="1" applyFill="1" applyBorder="1" applyAlignment="1" applyProtection="1">
      <alignment horizontal="center"/>
    </xf>
    <xf numFmtId="166" fontId="9" fillId="10" borderId="2" xfId="0" applyNumberFormat="1" applyFont="1" applyFill="1" applyBorder="1" applyAlignment="1">
      <alignment horizontal="center"/>
    </xf>
    <xf numFmtId="9" fontId="9" fillId="10" borderId="2" xfId="3" applyFont="1" applyFill="1" applyBorder="1" applyAlignment="1" applyProtection="1">
      <alignment horizontal="center"/>
    </xf>
    <xf numFmtId="9" fontId="9" fillId="10" borderId="9" xfId="3" applyFont="1" applyFill="1" applyBorder="1" applyAlignment="1" applyProtection="1">
      <alignment horizontal="center"/>
    </xf>
    <xf numFmtId="166" fontId="9" fillId="10" borderId="10" xfId="0" applyNumberFormat="1" applyFont="1" applyFill="1" applyBorder="1" applyAlignment="1">
      <alignment horizontal="center"/>
    </xf>
    <xf numFmtId="9" fontId="9" fillId="10" borderId="10" xfId="3" applyFont="1" applyFill="1" applyBorder="1" applyAlignment="1" applyProtection="1">
      <alignment horizontal="center"/>
    </xf>
    <xf numFmtId="9" fontId="9" fillId="10" borderId="11" xfId="3" applyFont="1" applyFill="1" applyBorder="1" applyAlignment="1" applyProtection="1">
      <alignment horizontal="center"/>
    </xf>
    <xf numFmtId="166" fontId="9" fillId="10" borderId="40" xfId="0" applyNumberFormat="1" applyFont="1" applyFill="1" applyBorder="1" applyAlignment="1">
      <alignment horizontal="center" wrapText="1"/>
    </xf>
    <xf numFmtId="166" fontId="9" fillId="10" borderId="41" xfId="4" applyNumberFormat="1" applyFont="1" applyFill="1" applyBorder="1" applyAlignment="1" applyProtection="1">
      <alignment horizontal="center"/>
    </xf>
    <xf numFmtId="9" fontId="9" fillId="10" borderId="43" xfId="3" applyFont="1" applyFill="1" applyBorder="1" applyAlignment="1" applyProtection="1">
      <alignment horizontal="center"/>
    </xf>
    <xf numFmtId="9" fontId="9" fillId="10" borderId="42" xfId="3" applyFont="1" applyFill="1" applyBorder="1" applyAlignment="1" applyProtection="1">
      <alignment horizontal="center"/>
    </xf>
    <xf numFmtId="166" fontId="9" fillId="10" borderId="45" xfId="4" applyNumberFormat="1" applyFont="1" applyFill="1" applyBorder="1" applyAlignment="1" applyProtection="1">
      <alignment horizontal="center"/>
    </xf>
    <xf numFmtId="166" fontId="12" fillId="8" borderId="3" xfId="0" applyNumberFormat="1" applyFont="1" applyFill="1" applyBorder="1" applyAlignment="1">
      <alignment horizontal="center" wrapText="1"/>
    </xf>
    <xf numFmtId="166" fontId="12" fillId="8" borderId="2" xfId="4" applyNumberFormat="1" applyFont="1" applyFill="1" applyBorder="1" applyAlignment="1" applyProtection="1">
      <alignment horizontal="center"/>
    </xf>
    <xf numFmtId="9" fontId="12" fillId="8" borderId="2" xfId="3" applyFont="1" applyFill="1" applyBorder="1" applyAlignment="1" applyProtection="1">
      <alignment horizontal="center"/>
    </xf>
    <xf numFmtId="0" fontId="13" fillId="8" borderId="22" xfId="0" applyFont="1" applyFill="1" applyBorder="1" applyAlignment="1" applyProtection="1">
      <alignment horizontal="center" vertical="center" wrapText="1"/>
      <protection locked="0"/>
    </xf>
    <xf numFmtId="0" fontId="13" fillId="8" borderId="38" xfId="0" applyFont="1" applyFill="1" applyBorder="1" applyAlignment="1" applyProtection="1">
      <alignment horizontal="center" vertical="center" wrapText="1"/>
      <protection locked="0"/>
    </xf>
    <xf numFmtId="166" fontId="12" fillId="8" borderId="1" xfId="0" applyNumberFormat="1" applyFont="1" applyFill="1" applyBorder="1" applyAlignment="1">
      <alignment horizontal="center"/>
    </xf>
    <xf numFmtId="166" fontId="15" fillId="8" borderId="0" xfId="0" applyNumberFormat="1" applyFont="1" applyFill="1" applyAlignment="1">
      <alignment horizontal="center"/>
    </xf>
    <xf numFmtId="9" fontId="15" fillId="8" borderId="0" xfId="3" applyFont="1" applyFill="1" applyAlignment="1" applyProtection="1">
      <alignment horizontal="center"/>
    </xf>
    <xf numFmtId="166" fontId="16" fillId="11" borderId="13" xfId="3" applyNumberFormat="1" applyFont="1" applyFill="1" applyBorder="1" applyAlignment="1" applyProtection="1">
      <alignment horizontal="center" vertical="center" wrapText="1"/>
      <protection locked="0"/>
    </xf>
    <xf numFmtId="166" fontId="16" fillId="11" borderId="2" xfId="3" applyNumberFormat="1" applyFont="1" applyFill="1" applyBorder="1" applyAlignment="1" applyProtection="1">
      <alignment horizontal="center" vertical="center" wrapText="1"/>
      <protection locked="0"/>
    </xf>
    <xf numFmtId="166" fontId="16" fillId="11" borderId="10" xfId="3" applyNumberFormat="1" applyFont="1" applyFill="1" applyBorder="1" applyAlignment="1" applyProtection="1">
      <alignment horizontal="center" vertical="center" wrapText="1"/>
      <protection locked="0"/>
    </xf>
    <xf numFmtId="166" fontId="16" fillId="11" borderId="13" xfId="0" applyNumberFormat="1" applyFont="1" applyFill="1" applyBorder="1" applyAlignment="1" applyProtection="1">
      <alignment horizontal="center" vertical="center" wrapText="1"/>
      <protection locked="0"/>
    </xf>
    <xf numFmtId="166" fontId="16" fillId="11" borderId="2" xfId="0" applyNumberFormat="1" applyFont="1" applyFill="1" applyBorder="1" applyAlignment="1" applyProtection="1">
      <alignment horizontal="center" vertical="center" wrapText="1"/>
      <protection locked="0"/>
    </xf>
    <xf numFmtId="166" fontId="16" fillId="11" borderId="10" xfId="0" applyNumberFormat="1" applyFont="1" applyFill="1" applyBorder="1" applyAlignment="1" applyProtection="1">
      <alignment horizontal="center" vertical="center" wrapText="1"/>
      <protection locked="0"/>
    </xf>
    <xf numFmtId="166" fontId="16" fillId="10" borderId="14" xfId="3" applyNumberFormat="1" applyFont="1" applyFill="1" applyBorder="1" applyAlignment="1" applyProtection="1">
      <alignment horizontal="center" vertical="center" wrapText="1"/>
      <protection locked="0"/>
    </xf>
    <xf numFmtId="166" fontId="16" fillId="10" borderId="8" xfId="3" applyNumberFormat="1" applyFont="1" applyFill="1" applyBorder="1" applyAlignment="1" applyProtection="1">
      <alignment horizontal="center" vertical="center" wrapText="1"/>
      <protection locked="0"/>
    </xf>
    <xf numFmtId="166" fontId="16" fillId="10" borderId="16" xfId="3" applyNumberFormat="1" applyFont="1" applyFill="1" applyBorder="1" applyAlignment="1" applyProtection="1">
      <alignment horizontal="center" vertical="center" wrapText="1"/>
      <protection locked="0"/>
    </xf>
    <xf numFmtId="166" fontId="16" fillId="10" borderId="14" xfId="0" applyNumberFormat="1" applyFont="1" applyFill="1" applyBorder="1" applyAlignment="1" applyProtection="1">
      <alignment horizontal="center" vertical="center" wrapText="1"/>
      <protection locked="0"/>
    </xf>
    <xf numFmtId="166" fontId="16" fillId="10" borderId="8" xfId="0" applyNumberFormat="1" applyFont="1" applyFill="1" applyBorder="1" applyAlignment="1" applyProtection="1">
      <alignment horizontal="center" vertical="center" wrapText="1"/>
      <protection locked="0"/>
    </xf>
    <xf numFmtId="166" fontId="16" fillId="10" borderId="16" xfId="0" applyNumberFormat="1" applyFont="1" applyFill="1" applyBorder="1" applyAlignment="1" applyProtection="1">
      <alignment horizontal="center" vertical="center" wrapText="1"/>
      <protection locked="0"/>
    </xf>
    <xf numFmtId="0" fontId="12" fillId="9" borderId="8" xfId="0" applyFont="1" applyFill="1" applyBorder="1" applyAlignment="1" applyProtection="1">
      <alignment horizontal="center"/>
      <protection locked="0"/>
    </xf>
    <xf numFmtId="0" fontId="12" fillId="9" borderId="9" xfId="0" applyFont="1" applyFill="1" applyBorder="1" applyAlignment="1" applyProtection="1">
      <alignment horizontal="center"/>
      <protection locked="0"/>
    </xf>
    <xf numFmtId="0" fontId="12" fillId="9" borderId="14" xfId="0" applyFont="1" applyFill="1" applyBorder="1" applyAlignment="1" applyProtection="1">
      <alignment horizontal="center"/>
      <protection locked="0"/>
    </xf>
    <xf numFmtId="0" fontId="12" fillId="9" borderId="15" xfId="0" applyFont="1" applyFill="1" applyBorder="1" applyAlignment="1" applyProtection="1">
      <alignment horizontal="center"/>
      <protection locked="0"/>
    </xf>
    <xf numFmtId="0" fontId="12" fillId="9" borderId="16" xfId="0" applyFont="1" applyFill="1" applyBorder="1" applyAlignment="1" applyProtection="1">
      <alignment horizontal="center"/>
      <protection locked="0"/>
    </xf>
    <xf numFmtId="0" fontId="12" fillId="9" borderId="11" xfId="0" applyFont="1" applyFill="1" applyBorder="1" applyAlignment="1" applyProtection="1">
      <alignment horizontal="center"/>
      <protection locked="0"/>
    </xf>
    <xf numFmtId="0" fontId="9" fillId="8" borderId="44" xfId="0" applyFont="1" applyFill="1" applyBorder="1" applyProtection="1">
      <protection locked="0"/>
    </xf>
    <xf numFmtId="0" fontId="9" fillId="8" borderId="0" xfId="0" applyFont="1" applyFill="1" applyProtection="1">
      <protection locked="0"/>
    </xf>
    <xf numFmtId="0" fontId="13" fillId="8" borderId="12" xfId="0" applyFont="1" applyFill="1" applyBorder="1" applyAlignment="1" applyProtection="1">
      <alignment horizontal="center" vertical="center" wrapText="1"/>
      <protection locked="0"/>
    </xf>
    <xf numFmtId="166" fontId="12" fillId="8" borderId="3" xfId="0" applyNumberFormat="1" applyFont="1" applyFill="1" applyBorder="1" applyAlignment="1">
      <alignment horizontal="center"/>
    </xf>
    <xf numFmtId="0" fontId="9" fillId="8" borderId="2" xfId="0" applyFont="1" applyFill="1" applyBorder="1" applyProtection="1">
      <protection locked="0"/>
    </xf>
    <xf numFmtId="166" fontId="12" fillId="9" borderId="19" xfId="0" applyNumberFormat="1" applyFont="1" applyFill="1" applyBorder="1" applyAlignment="1">
      <alignment horizontal="center"/>
    </xf>
    <xf numFmtId="0" fontId="8" fillId="9" borderId="18" xfId="0" applyFont="1" applyFill="1" applyBorder="1" applyAlignment="1" applyProtection="1">
      <alignment horizontal="center" vertical="center" wrapText="1"/>
      <protection locked="0"/>
    </xf>
    <xf numFmtId="166" fontId="0" fillId="3" borderId="2" xfId="0" applyNumberFormat="1" applyFill="1" applyBorder="1" applyAlignment="1">
      <alignment horizontal="center"/>
    </xf>
    <xf numFmtId="0" fontId="0" fillId="3" borderId="1" xfId="0" applyFill="1" applyBorder="1"/>
    <xf numFmtId="0" fontId="8" fillId="8" borderId="46" xfId="0" applyFont="1" applyFill="1" applyBorder="1" applyAlignment="1">
      <alignment horizontal="center" vertical="center" wrapText="1"/>
    </xf>
    <xf numFmtId="0" fontId="0" fillId="3" borderId="21" xfId="0" applyFill="1" applyBorder="1"/>
    <xf numFmtId="166" fontId="0" fillId="3" borderId="4" xfId="0" applyNumberFormat="1" applyFill="1" applyBorder="1" applyAlignment="1">
      <alignment horizontal="center"/>
    </xf>
    <xf numFmtId="0" fontId="8" fillId="8" borderId="2" xfId="0" applyFont="1" applyFill="1" applyBorder="1" applyAlignment="1" applyProtection="1">
      <alignment horizontal="center" vertical="center"/>
      <protection locked="0"/>
    </xf>
    <xf numFmtId="166" fontId="9" fillId="8" borderId="2" xfId="0" applyNumberFormat="1" applyFont="1" applyFill="1" applyBorder="1" applyProtection="1">
      <protection locked="0"/>
    </xf>
    <xf numFmtId="0" fontId="7" fillId="2" borderId="0" xfId="0" applyFont="1" applyFill="1" applyAlignment="1" applyProtection="1">
      <alignment vertical="center" wrapText="1"/>
      <protection locked="0"/>
    </xf>
    <xf numFmtId="0" fontId="18" fillId="8" borderId="0" xfId="0" applyFont="1" applyFill="1" applyAlignment="1">
      <alignment vertical="center"/>
    </xf>
    <xf numFmtId="0" fontId="7" fillId="8" borderId="1" xfId="0" applyFont="1" applyFill="1" applyBorder="1" applyAlignment="1" applyProtection="1">
      <alignment vertical="center" wrapText="1"/>
      <protection locked="0"/>
    </xf>
    <xf numFmtId="166" fontId="16" fillId="10" borderId="2" xfId="3" applyNumberFormat="1" applyFont="1" applyFill="1" applyBorder="1" applyAlignment="1" applyProtection="1">
      <alignment horizontal="center" vertical="center" wrapText="1"/>
      <protection locked="0"/>
    </xf>
    <xf numFmtId="0" fontId="7" fillId="8" borderId="0" xfId="0" applyFont="1" applyFill="1" applyAlignment="1">
      <alignment vertical="center" wrapText="1"/>
    </xf>
    <xf numFmtId="166" fontId="16" fillId="10" borderId="9" xfId="3" applyNumberFormat="1" applyFont="1" applyFill="1" applyBorder="1" applyAlignment="1" applyProtection="1">
      <alignment horizontal="center" vertical="center" wrapText="1"/>
      <protection locked="0"/>
    </xf>
    <xf numFmtId="166" fontId="16" fillId="11" borderId="8" xfId="3" applyNumberFormat="1" applyFont="1" applyFill="1" applyBorder="1" applyAlignment="1" applyProtection="1">
      <alignment horizontal="center" vertical="center" wrapText="1"/>
      <protection locked="0"/>
    </xf>
    <xf numFmtId="166" fontId="16" fillId="11" borderId="9" xfId="3" applyNumberFormat="1" applyFont="1" applyFill="1" applyBorder="1" applyAlignment="1" applyProtection="1">
      <alignment horizontal="center" vertical="center" wrapText="1"/>
      <protection locked="0"/>
    </xf>
    <xf numFmtId="166" fontId="16" fillId="10" borderId="11" xfId="3" applyNumberFormat="1" applyFont="1" applyFill="1" applyBorder="1" applyAlignment="1" applyProtection="1">
      <alignment horizontal="center" vertical="center" wrapText="1"/>
      <protection locked="0"/>
    </xf>
    <xf numFmtId="166" fontId="16" fillId="10" borderId="10" xfId="3" applyNumberFormat="1" applyFont="1" applyFill="1" applyBorder="1" applyAlignment="1" applyProtection="1">
      <alignment horizontal="center" vertical="center" wrapText="1"/>
      <protection locked="0"/>
    </xf>
    <xf numFmtId="0" fontId="8" fillId="8" borderId="58" xfId="0" applyFont="1" applyFill="1" applyBorder="1" applyAlignment="1" applyProtection="1">
      <alignment horizontal="center" vertical="center"/>
      <protection locked="0"/>
    </xf>
    <xf numFmtId="0" fontId="8" fillId="8" borderId="22" xfId="0" applyFont="1" applyFill="1" applyBorder="1" applyAlignment="1" applyProtection="1">
      <alignment horizontal="center" vertical="center"/>
      <protection locked="0"/>
    </xf>
    <xf numFmtId="0" fontId="6" fillId="0" borderId="0" xfId="0" applyFont="1"/>
    <xf numFmtId="0" fontId="19" fillId="8" borderId="7" xfId="0" applyFont="1" applyFill="1" applyBorder="1" applyAlignment="1">
      <alignment vertical="center" wrapText="1"/>
    </xf>
    <xf numFmtId="0" fontId="19" fillId="8" borderId="17" xfId="0" applyFont="1" applyFill="1" applyBorder="1" applyAlignment="1">
      <alignment vertical="center" wrapText="1"/>
    </xf>
    <xf numFmtId="0" fontId="19" fillId="8" borderId="57" xfId="0" applyFont="1" applyFill="1" applyBorder="1" applyAlignment="1">
      <alignment vertical="center" wrapText="1"/>
    </xf>
    <xf numFmtId="0" fontId="6" fillId="2" borderId="0" xfId="0" applyFont="1" applyFill="1" applyAlignment="1">
      <alignment wrapText="1"/>
    </xf>
    <xf numFmtId="0" fontId="3" fillId="2" borderId="6" xfId="0" applyFont="1" applyFill="1" applyBorder="1" applyAlignment="1">
      <alignment vertical="center"/>
    </xf>
    <xf numFmtId="166" fontId="3" fillId="2" borderId="6" xfId="0" applyNumberFormat="1" applyFont="1" applyFill="1" applyBorder="1" applyAlignment="1">
      <alignment vertical="center"/>
    </xf>
    <xf numFmtId="0" fontId="3" fillId="2" borderId="0" xfId="0" applyFont="1" applyFill="1" applyAlignment="1">
      <alignment vertical="center"/>
    </xf>
    <xf numFmtId="0" fontId="4" fillId="2" borderId="0" xfId="0" applyFont="1" applyFill="1" applyAlignment="1">
      <alignment horizontal="right"/>
    </xf>
    <xf numFmtId="0" fontId="20" fillId="3" borderId="55" xfId="0" applyFont="1" applyFill="1" applyBorder="1"/>
    <xf numFmtId="0" fontId="21" fillId="2" borderId="0" xfId="0" applyFont="1" applyFill="1"/>
    <xf numFmtId="166" fontId="6" fillId="2" borderId="0" xfId="0" applyNumberFormat="1" applyFont="1" applyFill="1"/>
    <xf numFmtId="0" fontId="7" fillId="8" borderId="0" xfId="0" applyFont="1" applyFill="1" applyAlignment="1" applyProtection="1">
      <alignment vertical="center" wrapText="1"/>
      <protection locked="0"/>
    </xf>
    <xf numFmtId="0" fontId="15" fillId="9" borderId="29" xfId="0" applyFont="1" applyFill="1" applyBorder="1" applyAlignment="1">
      <alignment horizontal="center" vertical="center" wrapText="1"/>
    </xf>
    <xf numFmtId="9" fontId="0" fillId="0" borderId="0" xfId="3" applyFont="1"/>
    <xf numFmtId="9" fontId="6" fillId="8" borderId="0" xfId="3" applyFont="1" applyFill="1" applyAlignment="1">
      <alignment wrapText="1"/>
    </xf>
    <xf numFmtId="9" fontId="0" fillId="3" borderId="2" xfId="3" applyFont="1" applyFill="1" applyBorder="1" applyAlignment="1">
      <alignment horizontal="center"/>
    </xf>
    <xf numFmtId="0" fontId="19" fillId="8" borderId="63" xfId="0" applyFont="1" applyFill="1" applyBorder="1" applyAlignment="1">
      <alignment horizontal="center"/>
    </xf>
    <xf numFmtId="0" fontId="19" fillId="8" borderId="56" xfId="0" applyFont="1" applyFill="1" applyBorder="1" applyAlignment="1">
      <alignment horizontal="center"/>
    </xf>
    <xf numFmtId="166" fontId="6" fillId="8" borderId="8" xfId="0" applyNumberFormat="1" applyFont="1" applyFill="1" applyBorder="1" applyAlignment="1">
      <alignment horizontal="center" vertical="center"/>
    </xf>
    <xf numFmtId="0" fontId="9" fillId="3" borderId="51" xfId="0" applyFont="1" applyFill="1" applyBorder="1" applyAlignment="1" applyProtection="1">
      <alignment wrapText="1"/>
      <protection locked="0"/>
    </xf>
    <xf numFmtId="0" fontId="17" fillId="3" borderId="52" xfId="0" applyFont="1" applyFill="1" applyBorder="1" applyProtection="1">
      <protection locked="0"/>
    </xf>
    <xf numFmtId="166" fontId="16" fillId="10" borderId="2" xfId="3" applyNumberFormat="1" applyFont="1" applyFill="1" applyBorder="1" applyAlignment="1" applyProtection="1">
      <alignment horizontal="center" vertical="center" wrapText="1"/>
    </xf>
    <xf numFmtId="166" fontId="16" fillId="10" borderId="2" xfId="3" applyNumberFormat="1" applyFont="1" applyFill="1" applyBorder="1" applyAlignment="1" applyProtection="1">
      <alignment horizontal="center" vertical="center" wrapText="1"/>
      <protection hidden="1"/>
    </xf>
    <xf numFmtId="166" fontId="12" fillId="8" borderId="2" xfId="0" applyNumberFormat="1" applyFont="1" applyFill="1" applyBorder="1" applyAlignment="1" applyProtection="1">
      <alignment horizontal="center"/>
      <protection hidden="1"/>
    </xf>
    <xf numFmtId="0" fontId="6" fillId="2" borderId="0" xfId="0" applyFont="1" applyFill="1" applyAlignment="1">
      <alignment vertical="center" wrapText="1"/>
    </xf>
    <xf numFmtId="0" fontId="27" fillId="6" borderId="23" xfId="0" applyFont="1" applyFill="1" applyBorder="1" applyAlignment="1">
      <alignment horizontal="center" vertical="center" wrapText="1"/>
    </xf>
    <xf numFmtId="0" fontId="27" fillId="6" borderId="25" xfId="0" applyFont="1" applyFill="1" applyBorder="1" applyAlignment="1">
      <alignment horizontal="center" vertical="center" wrapText="1"/>
    </xf>
    <xf numFmtId="0" fontId="27" fillId="6" borderId="27" xfId="0" applyFont="1" applyFill="1" applyBorder="1" applyAlignment="1">
      <alignment horizontal="center" vertical="center" wrapText="1"/>
    </xf>
    <xf numFmtId="0" fontId="29" fillId="7" borderId="23" xfId="0" applyFont="1" applyFill="1" applyBorder="1" applyAlignment="1">
      <alignment horizontal="center" vertical="center" wrapText="1"/>
    </xf>
    <xf numFmtId="0" fontId="27" fillId="7" borderId="26" xfId="0" applyFont="1" applyFill="1" applyBorder="1" applyAlignment="1">
      <alignment vertical="center" wrapText="1"/>
    </xf>
    <xf numFmtId="0" fontId="27" fillId="7" borderId="27" xfId="0" applyFont="1" applyFill="1" applyBorder="1" applyAlignment="1">
      <alignment vertical="center" wrapText="1"/>
    </xf>
    <xf numFmtId="0" fontId="6" fillId="2" borderId="0" xfId="0" applyFont="1" applyFill="1" applyAlignment="1">
      <alignment horizontal="center" vertical="center" wrapText="1"/>
    </xf>
    <xf numFmtId="0" fontId="19" fillId="2" borderId="0" xfId="0" applyFont="1" applyFill="1" applyAlignment="1">
      <alignment horizontal="center" vertical="center" wrapText="1"/>
    </xf>
    <xf numFmtId="0" fontId="12" fillId="9" borderId="64" xfId="0" applyFont="1" applyFill="1" applyBorder="1" applyAlignment="1" applyProtection="1">
      <alignment horizontal="center"/>
      <protection locked="0"/>
    </xf>
    <xf numFmtId="0" fontId="30" fillId="2" borderId="0" xfId="0" applyFont="1" applyFill="1" applyAlignment="1">
      <alignment horizontal="center" vertical="center" wrapText="1"/>
    </xf>
    <xf numFmtId="0" fontId="30" fillId="2" borderId="0" xfId="0" applyFont="1" applyFill="1" applyAlignment="1">
      <alignment wrapText="1"/>
    </xf>
    <xf numFmtId="0" fontId="27" fillId="7" borderId="23" xfId="0" applyFont="1" applyFill="1" applyBorder="1" applyAlignment="1">
      <alignment horizontal="center" vertical="center" wrapText="1"/>
    </xf>
    <xf numFmtId="0" fontId="6" fillId="7" borderId="23" xfId="0" applyFont="1" applyFill="1" applyBorder="1" applyAlignment="1">
      <alignment horizontal="center" vertical="center" wrapText="1"/>
    </xf>
    <xf numFmtId="166" fontId="8" fillId="4" borderId="29" xfId="0" applyNumberFormat="1"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8" fillId="9" borderId="29" xfId="0" applyFont="1" applyFill="1" applyBorder="1" applyAlignment="1">
      <alignment horizontal="center" vertical="center" wrapText="1"/>
    </xf>
    <xf numFmtId="0" fontId="0" fillId="2" borderId="21" xfId="0" applyFill="1" applyBorder="1"/>
    <xf numFmtId="166" fontId="31" fillId="2" borderId="4" xfId="0" applyNumberFormat="1" applyFont="1" applyFill="1" applyBorder="1" applyAlignment="1">
      <alignment horizontal="center"/>
    </xf>
    <xf numFmtId="165" fontId="12" fillId="8" borderId="1" xfId="0" applyNumberFormat="1" applyFont="1" applyFill="1" applyBorder="1" applyAlignment="1">
      <alignment horizontal="center"/>
    </xf>
    <xf numFmtId="165" fontId="12" fillId="8" borderId="3" xfId="0" applyNumberFormat="1" applyFont="1" applyFill="1" applyBorder="1" applyAlignment="1">
      <alignment horizontal="center"/>
    </xf>
    <xf numFmtId="0" fontId="7" fillId="8" borderId="0" xfId="0" applyFont="1" applyFill="1" applyAlignment="1" applyProtection="1">
      <alignment horizontal="left" vertical="center" wrapText="1"/>
      <protection locked="0"/>
    </xf>
    <xf numFmtId="14" fontId="0" fillId="3" borderId="1" xfId="0" applyNumberFormat="1" applyFill="1" applyBorder="1"/>
    <xf numFmtId="14" fontId="0" fillId="3" borderId="21" xfId="0" applyNumberFormat="1" applyFill="1" applyBorder="1"/>
    <xf numFmtId="14" fontId="0" fillId="2" borderId="21" xfId="0" applyNumberFormat="1" applyFill="1" applyBorder="1"/>
    <xf numFmtId="166" fontId="0" fillId="3" borderId="1" xfId="0" applyNumberFormat="1" applyFill="1" applyBorder="1" applyAlignment="1">
      <alignment horizontal="center"/>
    </xf>
    <xf numFmtId="166" fontId="0" fillId="3" borderId="21" xfId="0" applyNumberFormat="1" applyFill="1" applyBorder="1" applyAlignment="1">
      <alignment horizontal="center"/>
    </xf>
    <xf numFmtId="9" fontId="0" fillId="2" borderId="4" xfId="0" applyNumberFormat="1" applyFill="1" applyBorder="1" applyAlignment="1">
      <alignment horizontal="center"/>
    </xf>
    <xf numFmtId="166" fontId="0" fillId="0" borderId="0" xfId="0" applyNumberFormat="1"/>
    <xf numFmtId="166" fontId="33" fillId="2" borderId="2" xfId="0" applyNumberFormat="1" applyFont="1" applyFill="1" applyBorder="1" applyAlignment="1">
      <alignment horizontal="center"/>
    </xf>
    <xf numFmtId="0" fontId="33" fillId="0" borderId="2" xfId="0" applyFont="1" applyBorder="1"/>
    <xf numFmtId="166" fontId="33" fillId="0" borderId="2" xfId="0" applyNumberFormat="1" applyFont="1" applyBorder="1" applyAlignment="1">
      <alignment horizontal="center"/>
    </xf>
    <xf numFmtId="166" fontId="8" fillId="8" borderId="0" xfId="0" applyNumberFormat="1" applyFont="1" applyFill="1" applyAlignment="1">
      <alignment horizontal="center" vertical="center" wrapText="1"/>
    </xf>
    <xf numFmtId="0" fontId="17" fillId="3" borderId="61" xfId="0" applyFont="1" applyFill="1" applyBorder="1" applyAlignment="1" applyProtection="1">
      <alignment horizontal="left"/>
      <protection locked="0"/>
    </xf>
    <xf numFmtId="0" fontId="17" fillId="3" borderId="53" xfId="0" applyFont="1" applyFill="1" applyBorder="1" applyAlignment="1" applyProtection="1">
      <alignment horizontal="left"/>
      <protection locked="0"/>
    </xf>
    <xf numFmtId="0" fontId="11" fillId="0" borderId="0" xfId="0" applyFont="1" applyAlignment="1">
      <alignment horizontal="center"/>
    </xf>
    <xf numFmtId="166" fontId="12" fillId="0" borderId="0" xfId="0" applyNumberFormat="1" applyFont="1" applyAlignment="1" applyProtection="1">
      <alignment horizontal="center"/>
      <protection hidden="1"/>
    </xf>
    <xf numFmtId="10" fontId="12" fillId="8" borderId="2" xfId="0" applyNumberFormat="1" applyFont="1" applyFill="1" applyBorder="1" applyAlignment="1" applyProtection="1">
      <alignment horizontal="center"/>
      <protection hidden="1"/>
    </xf>
    <xf numFmtId="0" fontId="32" fillId="13" borderId="2" xfId="0" applyFont="1" applyFill="1" applyBorder="1"/>
    <xf numFmtId="166" fontId="35" fillId="13" borderId="2" xfId="0" applyNumberFormat="1" applyFont="1" applyFill="1" applyBorder="1" applyAlignment="1">
      <alignment horizontal="center"/>
    </xf>
    <xf numFmtId="0" fontId="7" fillId="8" borderId="2" xfId="0" applyFont="1" applyFill="1" applyBorder="1" applyAlignment="1" applyProtection="1">
      <alignment vertical="center" wrapText="1"/>
      <protection locked="0"/>
    </xf>
    <xf numFmtId="0" fontId="6" fillId="3" borderId="2" xfId="0" applyFont="1" applyFill="1" applyBorder="1" applyAlignment="1">
      <alignment horizontal="left" wrapText="1"/>
    </xf>
    <xf numFmtId="0" fontId="6" fillId="0" borderId="0" xfId="0" applyFont="1" applyAlignment="1">
      <alignment horizontal="left" wrapText="1"/>
    </xf>
    <xf numFmtId="166" fontId="35" fillId="2" borderId="4" xfId="0" applyNumberFormat="1" applyFont="1" applyFill="1" applyBorder="1" applyAlignment="1">
      <alignment horizontal="center"/>
    </xf>
    <xf numFmtId="166" fontId="0" fillId="3" borderId="2" xfId="0" applyNumberFormat="1" applyFill="1" applyBorder="1" applyAlignment="1">
      <alignment horizontal="left"/>
    </xf>
    <xf numFmtId="166" fontId="0" fillId="3" borderId="2" xfId="0" applyNumberFormat="1" applyFill="1" applyBorder="1" applyAlignment="1">
      <alignment horizontal="center" wrapText="1"/>
    </xf>
    <xf numFmtId="166" fontId="0" fillId="13" borderId="2" xfId="0" applyNumberFormat="1" applyFill="1" applyBorder="1" applyAlignment="1">
      <alignment horizontal="center" wrapText="1"/>
    </xf>
    <xf numFmtId="166" fontId="0" fillId="14" borderId="2" xfId="0" applyNumberFormat="1" applyFill="1" applyBorder="1" applyAlignment="1">
      <alignment horizontal="center" wrapText="1"/>
    </xf>
    <xf numFmtId="0" fontId="0" fillId="2" borderId="2" xfId="0" applyFill="1" applyBorder="1"/>
    <xf numFmtId="9" fontId="0" fillId="3" borderId="3" xfId="0" applyNumberFormat="1" applyFill="1" applyBorder="1" applyAlignment="1">
      <alignment horizontal="center"/>
    </xf>
    <xf numFmtId="9" fontId="31" fillId="3" borderId="3" xfId="0" applyNumberFormat="1" applyFont="1" applyFill="1" applyBorder="1" applyAlignment="1">
      <alignment horizontal="center"/>
    </xf>
    <xf numFmtId="166" fontId="8" fillId="8" borderId="2" xfId="0" applyNumberFormat="1" applyFont="1" applyFill="1" applyBorder="1" applyAlignment="1">
      <alignment horizontal="center" vertical="center" wrapText="1"/>
    </xf>
    <xf numFmtId="166" fontId="31" fillId="3" borderId="2" xfId="0" applyNumberFormat="1" applyFont="1" applyFill="1" applyBorder="1" applyAlignment="1">
      <alignment horizontal="left" wrapText="1"/>
    </xf>
    <xf numFmtId="166" fontId="31" fillId="3" borderId="2" xfId="0" applyNumberFormat="1" applyFont="1" applyFill="1" applyBorder="1" applyAlignment="1">
      <alignment horizontal="center" wrapText="1"/>
    </xf>
    <xf numFmtId="0" fontId="31" fillId="2" borderId="2" xfId="0" applyFont="1" applyFill="1" applyBorder="1" applyAlignment="1">
      <alignment horizontal="center"/>
    </xf>
    <xf numFmtId="14" fontId="31" fillId="3" borderId="1" xfId="0" applyNumberFormat="1" applyFont="1" applyFill="1" applyBorder="1"/>
    <xf numFmtId="166" fontId="38" fillId="13" borderId="2" xfId="0" applyNumberFormat="1" applyFont="1" applyFill="1" applyBorder="1" applyAlignment="1">
      <alignment horizontal="center" wrapText="1"/>
    </xf>
    <xf numFmtId="166" fontId="31" fillId="14" borderId="2" xfId="0" applyNumberFormat="1" applyFont="1" applyFill="1" applyBorder="1" applyAlignment="1">
      <alignment horizontal="left" wrapText="1"/>
    </xf>
    <xf numFmtId="0" fontId="0" fillId="15" borderId="0" xfId="0" applyFill="1"/>
    <xf numFmtId="0" fontId="0" fillId="15" borderId="0" xfId="0" applyFill="1" applyAlignment="1">
      <alignment wrapText="1"/>
    </xf>
    <xf numFmtId="43" fontId="0" fillId="0" borderId="0" xfId="7" applyFont="1"/>
    <xf numFmtId="43" fontId="32" fillId="0" borderId="0" xfId="7" applyFont="1"/>
    <xf numFmtId="43" fontId="0" fillId="0" borderId="0" xfId="0" applyNumberFormat="1"/>
    <xf numFmtId="0" fontId="0" fillId="0" borderId="0" xfId="0" applyAlignment="1">
      <alignment wrapText="1"/>
    </xf>
    <xf numFmtId="0" fontId="32" fillId="0" borderId="0" xfId="0" applyFont="1"/>
    <xf numFmtId="9" fontId="32" fillId="0" borderId="0" xfId="3" applyFont="1"/>
    <xf numFmtId="43" fontId="32" fillId="0" borderId="2" xfId="7" applyFont="1" applyBorder="1"/>
    <xf numFmtId="9" fontId="0" fillId="3" borderId="2" xfId="0" applyNumberFormat="1" applyFill="1" applyBorder="1" applyAlignment="1">
      <alignment horizontal="center"/>
    </xf>
    <xf numFmtId="9" fontId="31" fillId="3" borderId="2" xfId="0" applyNumberFormat="1" applyFont="1" applyFill="1" applyBorder="1" applyAlignment="1">
      <alignment horizontal="center"/>
    </xf>
    <xf numFmtId="0" fontId="40" fillId="0" borderId="2" xfId="0" applyFont="1" applyBorder="1" applyAlignment="1">
      <alignment horizontal="center" vertical="center" wrapText="1"/>
    </xf>
    <xf numFmtId="0" fontId="39" fillId="0" borderId="2" xfId="0" applyFont="1" applyBorder="1"/>
    <xf numFmtId="43" fontId="41" fillId="0" borderId="2" xfId="7" applyFont="1" applyFill="1" applyBorder="1"/>
    <xf numFmtId="43" fontId="41" fillId="0" borderId="2" xfId="7" applyFont="1" applyBorder="1"/>
    <xf numFmtId="0" fontId="41" fillId="0" borderId="2" xfId="0" applyFont="1" applyBorder="1"/>
    <xf numFmtId="0" fontId="39" fillId="16" borderId="2" xfId="0" applyFont="1" applyFill="1" applyBorder="1"/>
    <xf numFmtId="0" fontId="41" fillId="16" borderId="2" xfId="0" applyFont="1" applyFill="1" applyBorder="1"/>
    <xf numFmtId="43" fontId="39" fillId="16" borderId="2" xfId="7" applyFont="1" applyFill="1" applyBorder="1"/>
    <xf numFmtId="43" fontId="39" fillId="0" borderId="2" xfId="7" applyFont="1" applyBorder="1"/>
    <xf numFmtId="0" fontId="39" fillId="0" borderId="0" xfId="0" applyFont="1"/>
    <xf numFmtId="0" fontId="41" fillId="0" borderId="0" xfId="0" applyFont="1"/>
    <xf numFmtId="9" fontId="39" fillId="0" borderId="0" xfId="3" applyFont="1"/>
    <xf numFmtId="43" fontId="39" fillId="0" borderId="0" xfId="7" applyFont="1"/>
    <xf numFmtId="166" fontId="31" fillId="14" borderId="4" xfId="0" applyNumberFormat="1" applyFont="1" applyFill="1" applyBorder="1" applyAlignment="1">
      <alignment horizontal="center"/>
    </xf>
    <xf numFmtId="0" fontId="0" fillId="14" borderId="21" xfId="0" applyFill="1" applyBorder="1"/>
    <xf numFmtId="0" fontId="31" fillId="14" borderId="21" xfId="0" applyFont="1" applyFill="1" applyBorder="1" applyAlignment="1">
      <alignment horizontal="center"/>
    </xf>
    <xf numFmtId="14" fontId="0" fillId="14" borderId="21" xfId="0" applyNumberFormat="1" applyFill="1" applyBorder="1"/>
    <xf numFmtId="166" fontId="42" fillId="3" borderId="2" xfId="0" applyNumberFormat="1" applyFont="1" applyFill="1" applyBorder="1" applyAlignment="1">
      <alignment horizontal="center"/>
    </xf>
    <xf numFmtId="166" fontId="31" fillId="14" borderId="39" xfId="0" applyNumberFormat="1" applyFont="1" applyFill="1" applyBorder="1" applyAlignment="1">
      <alignment horizontal="center"/>
    </xf>
    <xf numFmtId="166" fontId="31" fillId="14" borderId="65" xfId="0" applyNumberFormat="1" applyFont="1" applyFill="1" applyBorder="1" applyAlignment="1">
      <alignment horizontal="center"/>
    </xf>
    <xf numFmtId="0" fontId="0" fillId="0" borderId="66" xfId="0" applyBorder="1"/>
    <xf numFmtId="166" fontId="38" fillId="0" borderId="66" xfId="0" applyNumberFormat="1" applyFont="1" applyBorder="1" applyAlignment="1">
      <alignment horizontal="center"/>
    </xf>
    <xf numFmtId="166" fontId="0" fillId="14" borderId="0" xfId="0" applyNumberFormat="1" applyFill="1"/>
    <xf numFmtId="166" fontId="44" fillId="8" borderId="2" xfId="0" applyNumberFormat="1" applyFont="1" applyFill="1" applyBorder="1" applyAlignment="1" applyProtection="1">
      <alignment horizontal="center"/>
      <protection hidden="1"/>
    </xf>
    <xf numFmtId="0" fontId="30" fillId="2" borderId="0" xfId="0" applyFont="1" applyFill="1"/>
    <xf numFmtId="0" fontId="0" fillId="14" borderId="0" xfId="0" applyFill="1" applyAlignment="1">
      <alignment horizontal="center" vertical="center" wrapText="1"/>
    </xf>
    <xf numFmtId="0" fontId="0" fillId="14" borderId="0" xfId="0" applyFill="1"/>
    <xf numFmtId="9" fontId="0" fillId="2" borderId="0" xfId="0" applyNumberFormat="1" applyFill="1" applyAlignment="1">
      <alignment horizontal="center"/>
    </xf>
    <xf numFmtId="166" fontId="31" fillId="2" borderId="0" xfId="0" applyNumberFormat="1" applyFont="1" applyFill="1" applyAlignment="1">
      <alignment horizontal="center"/>
    </xf>
    <xf numFmtId="0" fontId="0" fillId="0" borderId="0" xfId="0" applyAlignment="1">
      <alignment horizontal="right"/>
    </xf>
    <xf numFmtId="166" fontId="33" fillId="14" borderId="2" xfId="0" applyNumberFormat="1" applyFont="1" applyFill="1" applyBorder="1" applyAlignment="1">
      <alignment horizontal="center"/>
    </xf>
    <xf numFmtId="9" fontId="0" fillId="14" borderId="0" xfId="3" applyFont="1" applyFill="1"/>
    <xf numFmtId="166" fontId="31" fillId="0" borderId="66" xfId="0" applyNumberFormat="1" applyFont="1" applyBorder="1" applyAlignment="1">
      <alignment horizontal="center"/>
    </xf>
    <xf numFmtId="0" fontId="0" fillId="16" borderId="66" xfId="0" applyFill="1" applyBorder="1" applyAlignment="1">
      <alignment horizontal="center"/>
    </xf>
    <xf numFmtId="166" fontId="31" fillId="16" borderId="65" xfId="0" applyNumberFormat="1" applyFont="1" applyFill="1" applyBorder="1" applyAlignment="1">
      <alignment horizontal="center"/>
    </xf>
    <xf numFmtId="166" fontId="31" fillId="16" borderId="68" xfId="0" applyNumberFormat="1" applyFont="1" applyFill="1" applyBorder="1" applyAlignment="1">
      <alignment horizontal="center"/>
    </xf>
    <xf numFmtId="0" fontId="43" fillId="0" borderId="66" xfId="0" applyFont="1" applyBorder="1"/>
    <xf numFmtId="166" fontId="35" fillId="14" borderId="65" xfId="0" applyNumberFormat="1" applyFont="1" applyFill="1" applyBorder="1" applyAlignment="1">
      <alignment horizontal="center"/>
    </xf>
    <xf numFmtId="166" fontId="35" fillId="0" borderId="66" xfId="0" applyNumberFormat="1" applyFont="1" applyBorder="1" applyAlignment="1">
      <alignment horizontal="center"/>
    </xf>
    <xf numFmtId="166" fontId="35" fillId="16" borderId="68" xfId="0" applyNumberFormat="1" applyFont="1" applyFill="1" applyBorder="1" applyAlignment="1">
      <alignment horizontal="center"/>
    </xf>
    <xf numFmtId="10" fontId="33" fillId="14" borderId="2" xfId="0" applyNumberFormat="1" applyFont="1" applyFill="1" applyBorder="1"/>
    <xf numFmtId="0" fontId="31" fillId="2" borderId="20" xfId="0" applyFont="1" applyFill="1" applyBorder="1" applyAlignment="1">
      <alignment horizontal="center"/>
    </xf>
    <xf numFmtId="0" fontId="0" fillId="12" borderId="2" xfId="0" applyFill="1" applyBorder="1" applyAlignment="1">
      <alignment vertical="center" wrapText="1"/>
    </xf>
    <xf numFmtId="2" fontId="32" fillId="12" borderId="2" xfId="0" applyNumberFormat="1" applyFont="1" applyFill="1" applyBorder="1"/>
    <xf numFmtId="0" fontId="38" fillId="16" borderId="39" xfId="0" applyFont="1" applyFill="1" applyBorder="1" applyAlignment="1">
      <alignment horizontal="right"/>
    </xf>
    <xf numFmtId="166" fontId="38" fillId="16" borderId="21" xfId="0" applyNumberFormat="1" applyFont="1" applyFill="1" applyBorder="1" applyAlignment="1">
      <alignment horizontal="center"/>
    </xf>
    <xf numFmtId="0" fontId="38" fillId="0" borderId="66" xfId="0" applyFont="1" applyBorder="1" applyAlignment="1">
      <alignment horizontal="center"/>
    </xf>
    <xf numFmtId="0" fontId="0" fillId="16" borderId="0" xfId="0" applyFill="1"/>
    <xf numFmtId="0" fontId="0" fillId="16" borderId="0" xfId="0" applyFill="1" applyAlignment="1">
      <alignment horizontal="right"/>
    </xf>
    <xf numFmtId="166" fontId="31" fillId="16" borderId="4" xfId="0" applyNumberFormat="1" applyFont="1" applyFill="1" applyBorder="1" applyAlignment="1">
      <alignment horizontal="center"/>
    </xf>
    <xf numFmtId="9" fontId="0" fillId="16" borderId="4" xfId="0" applyNumberFormat="1" applyFill="1" applyBorder="1" applyAlignment="1">
      <alignment horizontal="center"/>
    </xf>
    <xf numFmtId="166" fontId="31" fillId="16" borderId="39" xfId="0" applyNumberFormat="1" applyFont="1" applyFill="1" applyBorder="1" applyAlignment="1">
      <alignment horizontal="center"/>
    </xf>
    <xf numFmtId="0" fontId="45" fillId="2" borderId="2" xfId="0" applyFont="1" applyFill="1" applyBorder="1"/>
    <xf numFmtId="0" fontId="0" fillId="17" borderId="0" xfId="0" applyFill="1" applyAlignment="1">
      <alignment horizontal="center"/>
    </xf>
    <xf numFmtId="0" fontId="33" fillId="14" borderId="2" xfId="0" applyFont="1" applyFill="1" applyBorder="1"/>
    <xf numFmtId="167" fontId="0" fillId="0" borderId="0" xfId="0" applyNumberFormat="1"/>
    <xf numFmtId="168" fontId="0" fillId="0" borderId="0" xfId="0" applyNumberFormat="1"/>
    <xf numFmtId="0" fontId="0" fillId="0" borderId="2" xfId="0" applyBorder="1"/>
    <xf numFmtId="43" fontId="0" fillId="0" borderId="2" xfId="7" applyFont="1" applyBorder="1"/>
    <xf numFmtId="43" fontId="0" fillId="0" borderId="2" xfId="0" applyNumberFormat="1" applyBorder="1"/>
    <xf numFmtId="0" fontId="33" fillId="2" borderId="0" xfId="0" applyFont="1" applyFill="1"/>
    <xf numFmtId="0" fontId="33" fillId="2" borderId="0" xfId="0" applyFont="1" applyFill="1" applyAlignment="1">
      <alignment horizontal="right"/>
    </xf>
    <xf numFmtId="43" fontId="38" fillId="0" borderId="2" xfId="0" applyNumberFormat="1" applyFont="1" applyBorder="1"/>
    <xf numFmtId="0" fontId="12" fillId="9" borderId="2" xfId="0" applyFont="1" applyFill="1" applyBorder="1" applyAlignment="1" applyProtection="1">
      <alignment horizontal="center"/>
      <protection locked="0"/>
    </xf>
    <xf numFmtId="0" fontId="8" fillId="8" borderId="2" xfId="0" applyFont="1" applyFill="1" applyBorder="1" applyAlignment="1" applyProtection="1">
      <alignment horizontal="center" vertical="center"/>
      <protection locked="0"/>
    </xf>
    <xf numFmtId="0" fontId="14" fillId="9" borderId="39" xfId="0" applyFont="1" applyFill="1" applyBorder="1" applyAlignment="1">
      <alignment horizontal="left" vertical="top"/>
    </xf>
    <xf numFmtId="0" fontId="14" fillId="9" borderId="20" xfId="0" applyFont="1" applyFill="1" applyBorder="1" applyAlignment="1">
      <alignment horizontal="left" vertical="top"/>
    </xf>
    <xf numFmtId="0" fontId="14" fillId="9" borderId="47" xfId="0" applyFont="1" applyFill="1" applyBorder="1" applyAlignment="1">
      <alignment horizontal="left"/>
    </xf>
    <xf numFmtId="0" fontId="14" fillId="9" borderId="49" xfId="0" applyFont="1" applyFill="1" applyBorder="1" applyAlignment="1">
      <alignment horizontal="left"/>
    </xf>
    <xf numFmtId="0" fontId="14" fillId="9" borderId="44" xfId="0" applyFont="1" applyFill="1" applyBorder="1" applyAlignment="1">
      <alignment horizontal="left"/>
    </xf>
    <xf numFmtId="0" fontId="14" fillId="9" borderId="0" xfId="0" applyFont="1" applyFill="1" applyAlignment="1">
      <alignment horizontal="left"/>
    </xf>
    <xf numFmtId="0" fontId="14" fillId="9" borderId="48" xfId="0" applyFont="1" applyFill="1" applyBorder="1" applyAlignment="1">
      <alignment horizontal="left"/>
    </xf>
    <xf numFmtId="0" fontId="14" fillId="9" borderId="50" xfId="0" applyFont="1" applyFill="1" applyBorder="1" applyAlignment="1">
      <alignment horizontal="left"/>
    </xf>
    <xf numFmtId="0" fontId="7" fillId="8" borderId="3" xfId="0" applyFont="1" applyFill="1" applyBorder="1" applyAlignment="1" applyProtection="1">
      <alignment horizontal="left" vertical="center" wrapText="1"/>
      <protection locked="0"/>
    </xf>
    <xf numFmtId="0" fontId="7" fillId="8" borderId="5" xfId="0" applyFont="1" applyFill="1" applyBorder="1" applyAlignment="1" applyProtection="1">
      <alignment horizontal="left" vertical="center" wrapText="1"/>
      <protection locked="0"/>
    </xf>
    <xf numFmtId="0" fontId="14" fillId="9" borderId="62" xfId="0" applyFont="1" applyFill="1" applyBorder="1" applyAlignment="1">
      <alignment horizontal="left"/>
    </xf>
    <xf numFmtId="0" fontId="6" fillId="2" borderId="2" xfId="0" applyFont="1" applyFill="1" applyBorder="1" applyAlignment="1">
      <alignment horizontal="center"/>
    </xf>
    <xf numFmtId="0" fontId="11" fillId="9" borderId="2" xfId="0" applyFont="1" applyFill="1" applyBorder="1" applyAlignment="1">
      <alignment horizontal="center"/>
    </xf>
    <xf numFmtId="0" fontId="15" fillId="8" borderId="2" xfId="0" applyFont="1" applyFill="1" applyBorder="1" applyAlignment="1">
      <alignment horizontal="center"/>
    </xf>
    <xf numFmtId="0" fontId="11" fillId="8" borderId="2" xfId="0" applyFont="1" applyFill="1" applyBorder="1" applyAlignment="1">
      <alignment horizontal="center"/>
    </xf>
    <xf numFmtId="0" fontId="11" fillId="8" borderId="3" xfId="0" applyFont="1" applyFill="1" applyBorder="1" applyAlignment="1">
      <alignment horizontal="center"/>
    </xf>
    <xf numFmtId="0" fontId="11" fillId="8" borderId="1" xfId="0" applyFont="1" applyFill="1" applyBorder="1" applyAlignment="1">
      <alignment horizontal="center"/>
    </xf>
    <xf numFmtId="0" fontId="7" fillId="8" borderId="0" xfId="0" applyFont="1" applyFill="1" applyAlignment="1" applyProtection="1">
      <alignment horizontal="left" vertical="center" wrapText="1"/>
      <protection locked="0"/>
    </xf>
    <xf numFmtId="0" fontId="12" fillId="9" borderId="14" xfId="0" applyFont="1" applyFill="1" applyBorder="1" applyAlignment="1" applyProtection="1">
      <alignment horizontal="center"/>
      <protection locked="0"/>
    </xf>
    <xf numFmtId="0" fontId="12" fillId="9" borderId="15" xfId="0" applyFont="1" applyFill="1" applyBorder="1" applyAlignment="1" applyProtection="1">
      <alignment horizontal="center"/>
      <protection locked="0"/>
    </xf>
    <xf numFmtId="0" fontId="12" fillId="9" borderId="8" xfId="0" applyFont="1" applyFill="1" applyBorder="1" applyAlignment="1" applyProtection="1">
      <alignment horizontal="center"/>
      <protection locked="0"/>
    </xf>
    <xf numFmtId="0" fontId="12" fillId="9" borderId="9" xfId="0" applyFont="1" applyFill="1" applyBorder="1" applyAlignment="1" applyProtection="1">
      <alignment horizontal="center"/>
      <protection locked="0"/>
    </xf>
    <xf numFmtId="0" fontId="11" fillId="9" borderId="17" xfId="0" applyFont="1" applyFill="1" applyBorder="1" applyAlignment="1">
      <alignment horizontal="center"/>
    </xf>
    <xf numFmtId="0" fontId="11" fillId="9" borderId="5" xfId="0" applyFont="1" applyFill="1" applyBorder="1" applyAlignment="1">
      <alignment horizontal="center"/>
    </xf>
    <xf numFmtId="0" fontId="11" fillId="8" borderId="17" xfId="0" applyFont="1" applyFill="1" applyBorder="1" applyAlignment="1">
      <alignment horizontal="center"/>
    </xf>
    <xf numFmtId="0" fontId="15" fillId="8" borderId="37" xfId="0" applyFont="1" applyFill="1" applyBorder="1" applyAlignment="1">
      <alignment horizontal="center"/>
    </xf>
    <xf numFmtId="0" fontId="12" fillId="9" borderId="16" xfId="0" applyFont="1" applyFill="1" applyBorder="1" applyAlignment="1" applyProtection="1">
      <alignment horizontal="center"/>
      <protection locked="0"/>
    </xf>
    <xf numFmtId="0" fontId="12" fillId="9" borderId="11" xfId="0" applyFont="1" applyFill="1" applyBorder="1" applyAlignment="1" applyProtection="1">
      <alignment horizontal="center"/>
      <protection locked="0"/>
    </xf>
    <xf numFmtId="0" fontId="5" fillId="2" borderId="0" xfId="0" applyFont="1" applyFill="1" applyAlignment="1" applyProtection="1">
      <alignment horizontal="left"/>
      <protection locked="0"/>
    </xf>
    <xf numFmtId="0" fontId="8" fillId="9" borderId="40" xfId="0" applyFont="1" applyFill="1" applyBorder="1" applyAlignment="1" applyProtection="1">
      <alignment horizontal="center" vertical="center" wrapText="1"/>
      <protection locked="0"/>
    </xf>
    <xf numFmtId="0" fontId="8" fillId="9" borderId="42" xfId="0" applyFont="1" applyFill="1" applyBorder="1" applyAlignment="1" applyProtection="1">
      <alignment horizontal="center" vertical="center" wrapText="1"/>
      <protection locked="0"/>
    </xf>
    <xf numFmtId="0" fontId="8" fillId="9" borderId="41" xfId="0" applyFont="1" applyFill="1" applyBorder="1" applyAlignment="1" applyProtection="1">
      <alignment horizontal="center" vertical="center" wrapText="1"/>
      <protection locked="0"/>
    </xf>
    <xf numFmtId="0" fontId="10" fillId="2" borderId="60" xfId="0" applyFont="1" applyFill="1" applyBorder="1" applyAlignment="1" applyProtection="1">
      <alignment horizontal="center"/>
      <protection locked="0"/>
    </xf>
    <xf numFmtId="0" fontId="10" fillId="2" borderId="59" xfId="0" applyFont="1" applyFill="1" applyBorder="1" applyAlignment="1" applyProtection="1">
      <alignment horizontal="center"/>
      <protection locked="0"/>
    </xf>
    <xf numFmtId="0" fontId="38" fillId="0" borderId="66" xfId="0" applyFont="1" applyBorder="1" applyAlignment="1">
      <alignment horizontal="center" vertical="center" wrapText="1"/>
    </xf>
    <xf numFmtId="0" fontId="38" fillId="0" borderId="67" xfId="0" applyFont="1" applyBorder="1" applyAlignment="1">
      <alignment horizontal="center" vertical="center" wrapText="1"/>
    </xf>
    <xf numFmtId="0" fontId="38" fillId="16" borderId="12" xfId="0" applyFont="1" applyFill="1" applyBorder="1" applyAlignment="1">
      <alignment horizontal="center"/>
    </xf>
    <xf numFmtId="0" fontId="38" fillId="16" borderId="69" xfId="0" applyFont="1" applyFill="1" applyBorder="1" applyAlignment="1">
      <alignment horizontal="center"/>
    </xf>
    <xf numFmtId="0" fontId="0" fillId="17" borderId="0" xfId="0" applyFill="1" applyAlignment="1">
      <alignment horizontal="center" vertical="center" wrapText="1"/>
    </xf>
    <xf numFmtId="0" fontId="32" fillId="12" borderId="3" xfId="0" applyFont="1" applyFill="1" applyBorder="1" applyAlignment="1">
      <alignment horizontal="center"/>
    </xf>
    <xf numFmtId="0" fontId="32" fillId="12" borderId="1" xfId="0" applyFont="1" applyFill="1" applyBorder="1" applyAlignment="1">
      <alignment horizontal="center"/>
    </xf>
    <xf numFmtId="0" fontId="0" fillId="12" borderId="39" xfId="0" applyFill="1" applyBorder="1" applyAlignment="1">
      <alignment horizontal="center" vertical="center" wrapText="1"/>
    </xf>
    <xf numFmtId="0" fontId="0" fillId="12" borderId="20" xfId="0" applyFill="1" applyBorder="1" applyAlignment="1">
      <alignment horizontal="center" vertical="center" wrapText="1"/>
    </xf>
    <xf numFmtId="0" fontId="0" fillId="12" borderId="21" xfId="0" applyFill="1" applyBorder="1" applyAlignment="1">
      <alignment horizontal="center" vertical="center" wrapText="1"/>
    </xf>
    <xf numFmtId="0" fontId="0" fillId="0" borderId="0" xfId="0" applyAlignment="1">
      <alignment horizontal="left" wrapText="1"/>
    </xf>
    <xf numFmtId="0" fontId="33" fillId="14" borderId="3" xfId="0" applyFont="1" applyFill="1" applyBorder="1" applyAlignment="1">
      <alignment horizontal="center"/>
    </xf>
    <xf numFmtId="0" fontId="33" fillId="14" borderId="1" xfId="0" applyFont="1" applyFill="1" applyBorder="1" applyAlignment="1">
      <alignment horizontal="center"/>
    </xf>
    <xf numFmtId="49" fontId="36" fillId="0" borderId="4" xfId="0" applyNumberFormat="1" applyFont="1" applyBorder="1" applyAlignment="1">
      <alignment horizontal="left" vertical="top" wrapText="1"/>
    </xf>
    <xf numFmtId="49" fontId="36" fillId="0" borderId="22" xfId="0" applyNumberFormat="1" applyFont="1" applyBorder="1" applyAlignment="1">
      <alignment horizontal="left" vertical="top" wrapText="1"/>
    </xf>
    <xf numFmtId="49" fontId="36" fillId="0" borderId="38" xfId="0" applyNumberFormat="1" applyFont="1" applyBorder="1" applyAlignment="1">
      <alignment horizontal="left" vertical="top" wrapText="1"/>
    </xf>
    <xf numFmtId="0" fontId="27" fillId="7" borderId="23" xfId="0" applyFont="1" applyFill="1" applyBorder="1" applyAlignment="1">
      <alignment horizontal="center" vertical="center" wrapText="1"/>
    </xf>
    <xf numFmtId="0" fontId="8" fillId="8" borderId="24" xfId="0" applyFont="1" applyFill="1" applyBorder="1" applyAlignment="1">
      <alignment horizontal="left" vertical="top" wrapText="1"/>
    </xf>
    <xf numFmtId="0" fontId="8" fillId="8" borderId="0" xfId="0" applyFont="1" applyFill="1" applyAlignment="1">
      <alignment horizontal="left" vertical="top" wrapText="1"/>
    </xf>
    <xf numFmtId="6" fontId="27" fillId="7" borderId="23" xfId="0" applyNumberFormat="1" applyFont="1" applyFill="1" applyBorder="1" applyAlignment="1">
      <alignment horizontal="center" vertical="center" wrapText="1"/>
    </xf>
    <xf numFmtId="0" fontId="6" fillId="7" borderId="23" xfId="0" applyFont="1" applyFill="1" applyBorder="1" applyAlignment="1">
      <alignment horizontal="center" vertical="center" wrapText="1"/>
    </xf>
    <xf numFmtId="0" fontId="27" fillId="7" borderId="30" xfId="0" applyFont="1" applyFill="1" applyBorder="1" applyAlignment="1">
      <alignment horizontal="center" vertical="center" wrapText="1"/>
    </xf>
    <xf numFmtId="0" fontId="27" fillId="7" borderId="31" xfId="0" applyFont="1" applyFill="1" applyBorder="1" applyAlignment="1">
      <alignment horizontal="center" vertical="center" wrapText="1"/>
    </xf>
    <xf numFmtId="0" fontId="27" fillId="7" borderId="32" xfId="0" applyFont="1" applyFill="1" applyBorder="1" applyAlignment="1">
      <alignment horizontal="center" vertical="center" wrapText="1"/>
    </xf>
    <xf numFmtId="0" fontId="27" fillId="7" borderId="34" xfId="0" applyFont="1" applyFill="1" applyBorder="1" applyAlignment="1">
      <alignment horizontal="center" vertical="center" wrapText="1"/>
    </xf>
    <xf numFmtId="0" fontId="27" fillId="7" borderId="35" xfId="0" applyFont="1" applyFill="1" applyBorder="1" applyAlignment="1">
      <alignment horizontal="center" vertical="center" wrapText="1"/>
    </xf>
    <xf numFmtId="0" fontId="27" fillId="7" borderId="36" xfId="0" applyFont="1" applyFill="1" applyBorder="1" applyAlignment="1">
      <alignment horizontal="center" vertical="center" wrapText="1"/>
    </xf>
    <xf numFmtId="0" fontId="6" fillId="7" borderId="28"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2" borderId="0" xfId="0" applyFont="1" applyFill="1" applyAlignment="1">
      <alignment horizontal="center" wrapText="1"/>
    </xf>
    <xf numFmtId="0" fontId="27" fillId="7" borderId="28" xfId="0" applyFont="1" applyFill="1" applyBorder="1" applyAlignment="1">
      <alignment horizontal="center" vertical="center" wrapText="1"/>
    </xf>
    <xf numFmtId="0" fontId="27" fillId="7" borderId="29" xfId="0" applyFont="1" applyFill="1" applyBorder="1" applyAlignment="1">
      <alignment horizontal="center" vertical="center" wrapText="1"/>
    </xf>
    <xf numFmtId="0" fontId="28" fillId="6" borderId="30" xfId="0" applyFont="1" applyFill="1" applyBorder="1" applyAlignment="1">
      <alignment horizontal="center" vertical="center" wrapText="1"/>
    </xf>
    <xf numFmtId="0" fontId="28" fillId="6" borderId="31" xfId="0" applyFont="1" applyFill="1" applyBorder="1" applyAlignment="1">
      <alignment horizontal="center" vertical="center" wrapText="1"/>
    </xf>
    <xf numFmtId="0" fontId="6" fillId="7" borderId="54" xfId="0" applyFont="1" applyFill="1" applyBorder="1" applyAlignment="1">
      <alignment horizontal="center" vertical="center" wrapText="1"/>
    </xf>
    <xf numFmtId="0" fontId="27" fillId="7" borderId="25" xfId="0" applyFont="1" applyFill="1" applyBorder="1" applyAlignment="1">
      <alignment horizontal="center" vertical="center" wrapText="1"/>
    </xf>
    <xf numFmtId="0" fontId="27" fillId="7" borderId="26" xfId="0" applyFont="1" applyFill="1" applyBorder="1" applyAlignment="1">
      <alignment horizontal="center" vertical="center" wrapText="1"/>
    </xf>
    <xf numFmtId="0" fontId="27" fillId="7" borderId="27" xfId="0" applyFont="1" applyFill="1" applyBorder="1" applyAlignment="1">
      <alignment horizontal="center" vertical="center" wrapText="1"/>
    </xf>
    <xf numFmtId="0" fontId="27" fillId="7" borderId="54" xfId="0" applyFont="1" applyFill="1" applyBorder="1" applyAlignment="1">
      <alignment horizontal="center" vertical="center" wrapText="1"/>
    </xf>
    <xf numFmtId="0" fontId="27" fillId="5" borderId="23" xfId="0" applyFont="1" applyFill="1" applyBorder="1" applyAlignment="1">
      <alignment horizontal="center" vertical="center" wrapText="1"/>
    </xf>
    <xf numFmtId="0" fontId="27" fillId="5" borderId="23" xfId="0" applyFont="1" applyFill="1" applyBorder="1" applyAlignment="1">
      <alignment vertical="center" wrapText="1"/>
    </xf>
    <xf numFmtId="0" fontId="27" fillId="6" borderId="25" xfId="0" applyFont="1" applyFill="1" applyBorder="1" applyAlignment="1">
      <alignment horizontal="left" vertical="center" wrapText="1"/>
    </xf>
    <xf numFmtId="0" fontId="27" fillId="6" borderId="26" xfId="0" applyFont="1" applyFill="1" applyBorder="1" applyAlignment="1">
      <alignment horizontal="left" vertical="center" wrapText="1"/>
    </xf>
    <xf numFmtId="0" fontId="27" fillId="7" borderId="2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33"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7" fillId="8" borderId="0" xfId="0" applyFont="1" applyFill="1" applyAlignment="1">
      <alignment horizontal="left" vertical="center" wrapText="1"/>
    </xf>
    <xf numFmtId="0" fontId="25" fillId="2" borderId="0" xfId="0" applyFont="1" applyFill="1" applyAlignment="1">
      <alignment horizontal="center" vertical="center" wrapText="1"/>
    </xf>
    <xf numFmtId="0" fontId="26" fillId="0" borderId="0" xfId="0" applyFont="1" applyAlignment="1">
      <alignment horizontal="left" vertical="center" wrapText="1"/>
    </xf>
    <xf numFmtId="0" fontId="33" fillId="0" borderId="2" xfId="0" applyFont="1" applyBorder="1" applyAlignment="1">
      <alignment horizontal="right"/>
    </xf>
    <xf numFmtId="0" fontId="40" fillId="0" borderId="2" xfId="0" applyFont="1" applyBorder="1" applyAlignment="1">
      <alignment horizontal="center" vertical="center" wrapText="1"/>
    </xf>
    <xf numFmtId="0" fontId="39" fillId="0" borderId="2" xfId="0" applyFont="1" applyBorder="1" applyAlignment="1">
      <alignment horizontal="center"/>
    </xf>
    <xf numFmtId="0" fontId="5" fillId="2" borderId="0" xfId="0" applyFont="1" applyFill="1" applyAlignment="1">
      <alignment horizontal="left"/>
    </xf>
  </cellXfs>
  <cellStyles count="11">
    <cellStyle name="Comma 2" xfId="5" xr:uid="{00F5DE9B-97DC-4D5D-B07F-321566947113}"/>
    <cellStyle name="Comma 2 2" xfId="9" xr:uid="{F1E9B3B8-34D3-4103-A492-587AF882E3C8}"/>
    <cellStyle name="Comma 3" xfId="10" xr:uid="{87642E76-171D-4E62-B205-145181A92053}"/>
    <cellStyle name="Currency 2" xfId="8" xr:uid="{45802B17-A545-42AB-8ECD-C78750B6D146}"/>
    <cellStyle name="Millares" xfId="7" builtinId="3"/>
    <cellStyle name="Moneda" xfId="4" builtinId="4"/>
    <cellStyle name="Normal" xfId="0" builtinId="0"/>
    <cellStyle name="Normal 2" xfId="1" xr:uid="{9BD554D4-8A6E-1343-B2DA-A25A64782775}"/>
    <cellStyle name="Normal 2 2" xfId="6" xr:uid="{1E1D95FB-0DFF-43DE-977C-CEC774161ABF}"/>
    <cellStyle name="Per cent 2" xfId="2" xr:uid="{6CAB95D2-356C-3D45-A6B1-1929B211EA0F}"/>
    <cellStyle name="Porcentaje" xfId="3" builtinId="5"/>
  </cellStyles>
  <dxfs count="126">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numFmt numFmtId="19" formatCode="dd/mm/yyyy"/>
      <fill>
        <patternFill patternType="solid">
          <fgColor indexed="64"/>
          <bgColor theme="0"/>
        </patternFill>
      </fill>
      <border diagonalUp="0" diagonalDown="0" outline="0">
        <left/>
        <right style="thin">
          <color indexed="64"/>
        </right>
        <top style="thin">
          <color indexed="64"/>
        </top>
        <bottom/>
      </border>
    </dxf>
    <dxf>
      <numFmt numFmtId="19" formatCode="dd/mm/yyyy"/>
      <fill>
        <patternFill patternType="solid">
          <fgColor indexed="64"/>
          <bgColor theme="0" tint="-0.14999847407452621"/>
        </patternFill>
      </fill>
      <border diagonalUp="0" diagonalDown="0">
        <left/>
        <right style="thin">
          <color indexed="64"/>
        </right>
        <top style="thin">
          <color indexed="64"/>
        </top>
        <bottom/>
        <vertical/>
        <horizontal/>
      </border>
    </dxf>
    <dxf>
      <numFmt numFmtId="19" formatCode="dd/mm/yyyy"/>
      <fill>
        <patternFill patternType="solid">
          <fgColor indexed="64"/>
          <bgColor theme="0"/>
        </patternFill>
      </fill>
      <border diagonalUp="0" diagonalDown="0" outline="0">
        <left/>
        <right style="thin">
          <color indexed="64"/>
        </right>
        <top style="thin">
          <color indexed="64"/>
        </top>
        <bottom/>
      </border>
    </dxf>
    <dxf>
      <numFmt numFmtId="19" formatCode="dd/mm/yyyy"/>
      <fill>
        <patternFill patternType="solid">
          <fgColor indexed="64"/>
          <bgColor theme="0" tint="-0.14999847407452621"/>
        </patternFill>
      </fill>
      <border diagonalUp="0" diagonalDown="0" outline="0">
        <left/>
        <right/>
        <top style="thin">
          <color indexed="64"/>
        </top>
        <bottom/>
      </border>
    </dxf>
    <dxf>
      <fill>
        <patternFill patternType="solid">
          <fgColor indexed="64"/>
          <bgColor theme="0"/>
        </patternFill>
      </fill>
      <border diagonalUp="0" diagonalDown="0" outline="0">
        <left/>
        <right style="thin">
          <color indexed="64"/>
        </right>
        <top style="thin">
          <color indexed="64"/>
        </top>
        <bottom/>
      </border>
    </dxf>
    <dxf>
      <numFmt numFmtId="0" formatCode="General"/>
      <fill>
        <patternFill patternType="solid">
          <fgColor indexed="64"/>
          <bgColor theme="0" tint="-0.14999847407452621"/>
        </patternFill>
      </fill>
      <border diagonalUp="0" diagonalDown="0" outline="0">
        <left/>
        <right/>
        <top style="thin">
          <color indexed="64"/>
        </top>
        <bottom/>
      </border>
    </dxf>
    <dxf>
      <fill>
        <patternFill patternType="solid">
          <fgColor indexed="64"/>
          <bgColor theme="0"/>
        </patternFill>
      </fill>
      <border diagonalUp="0" diagonalDown="0" outline="0">
        <left/>
        <right style="thin">
          <color indexed="64"/>
        </right>
        <top style="thin">
          <color indexed="64"/>
        </top>
        <bottom/>
      </border>
    </dxf>
    <dxf>
      <numFmt numFmtId="0" formatCode="General"/>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dxf>
    <dxf>
      <fill>
        <patternFill patternType="solid">
          <fgColor rgb="FF000000"/>
          <bgColor rgb="FFFFFFFF"/>
        </patternFill>
      </fill>
    </dxf>
    <dxf>
      <border outline="0">
        <left style="thin">
          <color rgb="FF000000"/>
        </left>
        <top style="thin">
          <color rgb="FF000000"/>
        </top>
        <bottom style="thin">
          <color rgb="FF000000"/>
        </bottom>
      </border>
    </dxf>
    <dxf>
      <fill>
        <patternFill patternType="solid">
          <fgColor rgb="FF000000"/>
          <bgColor rgb="FFD9D9D9"/>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Muli"/>
        <scheme val="none"/>
      </font>
      <numFmt numFmtId="166" formatCode="&quot;£&quot;#,##0.00"/>
      <fill>
        <patternFill patternType="solid">
          <fgColor indexed="64"/>
          <bgColor rgb="FF001E62"/>
        </patternFill>
      </fill>
      <alignment horizontal="center" vertical="center" textRotation="0" wrapText="1" indent="0" justifyLastLine="0" shrinkToFit="0" readingOrder="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top style="thin">
          <color auto="1"/>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rgb="FF92D050"/>
        </patternFill>
      </fill>
      <alignment horizontal="center" vertical="bottom"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border>
    </dxf>
    <dxf>
      <font>
        <b/>
        <i val="0"/>
        <strike val="0"/>
        <condense val="0"/>
        <extend val="0"/>
        <outline val="0"/>
        <shadow val="0"/>
        <u val="none"/>
        <vertAlign val="baseline"/>
        <sz val="11"/>
        <color auto="1"/>
        <name val="Calibri"/>
        <family val="2"/>
        <scheme val="none"/>
      </font>
      <numFmt numFmtId="166" formatCode="&quot;£&quot;#,##0.00"/>
      <fill>
        <patternFill patternType="solid">
          <fgColor indexed="64"/>
          <bgColor rgb="FF92D050"/>
        </patternFill>
      </fill>
      <alignment horizontal="center" vertical="bottom"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rgb="FF92D050"/>
        </patternFill>
      </fill>
      <alignment horizontal="center" vertical="bottom"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rgb="FF92D050"/>
        </patternFill>
      </fill>
      <alignment horizontal="center" vertical="bottom"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rgb="FF92D050"/>
        </patternFill>
      </fill>
      <alignment horizontal="center" vertical="bottom" textRotation="0" wrapText="0" indent="0" justifyLastLine="0" shrinkToFit="0" readingOrder="0"/>
      <border diagonalUp="0" diagonalDown="0">
        <left style="medium">
          <color indexed="64"/>
        </left>
        <right style="medium">
          <color indexed="64"/>
        </right>
        <top style="medium">
          <color indexed="64"/>
        </top>
        <bottom style="medium">
          <color indexed="64"/>
        </bottom>
        <vertic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rgb="FF92D050"/>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166" formatCode="&quot;£&quot;#,##0.00"/>
      <fill>
        <patternFill patternType="solid">
          <fgColor indexed="64"/>
          <bgColor rgb="FF92D05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numFmt numFmtId="166" formatCode="&quot;£&quot;#,##0.00"/>
      <fill>
        <patternFill patternType="solid">
          <fgColor indexed="64"/>
          <bgColor theme="0" tint="-0.14999847407452621"/>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numFmt numFmtId="19" formatCode="dd/mm/yyyy"/>
      <fill>
        <patternFill patternType="solid">
          <fgColor indexed="64"/>
          <bgColor rgb="FF92D050"/>
        </patternFill>
      </fill>
      <border diagonalUp="0" diagonalDown="0" outline="0">
        <left/>
        <right style="thin">
          <color indexed="64"/>
        </right>
        <top style="thin">
          <color indexed="64"/>
        </top>
        <bottom/>
      </border>
    </dxf>
    <dxf>
      <numFmt numFmtId="19" formatCode="dd/mm/yyyy"/>
      <fill>
        <patternFill patternType="solid">
          <fgColor indexed="64"/>
          <bgColor theme="0" tint="-0.14999847407452621"/>
        </patternFill>
      </fill>
      <border diagonalUp="0" diagonalDown="0">
        <left/>
        <right style="thin">
          <color indexed="64"/>
        </right>
        <top style="thin">
          <color indexed="64"/>
        </top>
        <bottom/>
        <vertical/>
        <horizontal/>
      </border>
    </dxf>
    <dxf>
      <numFmt numFmtId="19" formatCode="dd/mm/yyyy"/>
      <fill>
        <patternFill patternType="solid">
          <fgColor indexed="64"/>
          <bgColor rgb="FF92D050"/>
        </patternFill>
      </fill>
      <border diagonalUp="0" diagonalDown="0" outline="0">
        <left/>
        <right style="thin">
          <color indexed="64"/>
        </right>
        <top style="thin">
          <color indexed="64"/>
        </top>
        <bottom/>
      </border>
    </dxf>
    <dxf>
      <numFmt numFmtId="19" formatCode="dd/mm/yyyy"/>
      <fill>
        <patternFill patternType="solid">
          <fgColor indexed="64"/>
          <bgColor theme="0" tint="-0.14999847407452621"/>
        </patternFill>
      </fill>
      <border diagonalUp="0" diagonalDown="0" outline="0">
        <left/>
        <right/>
        <top style="thin">
          <color indexed="64"/>
        </top>
        <bottom/>
      </border>
    </dxf>
    <dxf>
      <font>
        <b val="0"/>
        <i val="0"/>
        <strike val="0"/>
        <condense val="0"/>
        <extend val="0"/>
        <outline val="0"/>
        <shadow val="0"/>
        <u val="none"/>
        <vertAlign val="baseline"/>
        <sz val="11"/>
        <color auto="1"/>
        <name val="Calibri"/>
        <family val="2"/>
        <scheme val="none"/>
      </font>
      <fill>
        <patternFill patternType="solid">
          <fgColor indexed="64"/>
          <bgColor rgb="FF92D050"/>
        </patternFill>
      </fill>
      <alignment horizontal="center" vertical="bottom" textRotation="0" wrapText="0" indent="0" justifyLastLine="0" shrinkToFit="0" readingOrder="0"/>
      <border diagonalUp="0" diagonalDown="0" outline="0">
        <left/>
        <right style="thin">
          <color indexed="64"/>
        </right>
        <top style="thin">
          <color indexed="64"/>
        </top>
        <bottom/>
      </border>
    </dxf>
    <dxf>
      <numFmt numFmtId="0" formatCode="General"/>
      <fill>
        <patternFill patternType="solid">
          <fgColor indexed="64"/>
          <bgColor theme="0" tint="-0.14999847407452621"/>
        </patternFill>
      </fill>
      <border diagonalUp="0" diagonalDown="0" outline="0">
        <left/>
        <right/>
        <top style="thin">
          <color indexed="64"/>
        </top>
        <bottom/>
      </border>
    </dxf>
    <dxf>
      <fill>
        <patternFill patternType="solid">
          <fgColor indexed="64"/>
          <bgColor rgb="FF92D050"/>
        </patternFill>
      </fill>
      <border diagonalUp="0" diagonalDown="0" outline="0">
        <left/>
        <right style="thin">
          <color indexed="64"/>
        </right>
        <top style="thin">
          <color indexed="64"/>
        </top>
        <bottom/>
      </border>
    </dxf>
    <dxf>
      <numFmt numFmtId="0" formatCode="General"/>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dxf>
    <dxf>
      <fill>
        <patternFill patternType="solid">
          <fgColor indexed="64"/>
          <bgColor theme="0"/>
        </patternFill>
      </fill>
    </dxf>
    <dxf>
      <border outline="0">
        <left style="thin">
          <color indexed="64"/>
        </left>
        <top style="thin">
          <color indexed="64"/>
        </top>
        <bottom style="thin">
          <color indexed="64"/>
        </bottom>
      </border>
    </dxf>
    <dxf>
      <fill>
        <patternFill patternType="solid">
          <fgColor indexed="64"/>
          <bgColor theme="0" tint="-0.1499984740745262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Muli"/>
        <scheme val="none"/>
      </font>
      <numFmt numFmtId="166" formatCode="&quot;£&quot;#,##0.00"/>
      <fill>
        <patternFill patternType="solid">
          <fgColor indexed="64"/>
          <bgColor rgb="FF001E62"/>
        </patternFill>
      </fill>
      <alignment horizontal="center" vertical="center" textRotation="0" wrapText="1" indent="0" justifyLastLine="0" shrinkToFit="0" readingOrder="0"/>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
      <font>
        <b val="0"/>
        <i/>
        <strike/>
        <color theme="0" tint="-0.3499862666707357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71"/>
      <color rgb="FF878787"/>
      <color rgb="FF001E62"/>
      <color rgb="FFA3A5EF"/>
      <color rgb="FF1E22AA"/>
      <color rgb="FFFDFFCA"/>
      <color rgb="FF003296"/>
      <color rgb="FFB7820D"/>
      <color rgb="FFD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126171</xdr:colOff>
      <xdr:row>1</xdr:row>
      <xdr:rowOff>38100</xdr:rowOff>
    </xdr:from>
    <xdr:to>
      <xdr:col>2</xdr:col>
      <xdr:colOff>1449318</xdr:colOff>
      <xdr:row>1</xdr:row>
      <xdr:rowOff>453519</xdr:rowOff>
    </xdr:to>
    <xdr:pic>
      <xdr:nvPicPr>
        <xdr:cNvPr id="3" name="Picture 2">
          <a:extLst>
            <a:ext uri="{FF2B5EF4-FFF2-40B4-BE49-F238E27FC236}">
              <a16:creationId xmlns:a16="http://schemas.microsoft.com/office/drawing/2014/main" id="{3781889F-FA00-4B5C-9679-6F05E38DC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2932" y="336274"/>
          <a:ext cx="2143125" cy="40843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C4A69B-169F-455E-A142-04431D1C8D77}" name="Table1" displayName="Table1" ref="B4:X47" totalsRowCount="1" headerRowDxfId="94" dataDxfId="93" totalsRowDxfId="91" tableBorderDxfId="92">
  <autoFilter ref="B4:X46" xr:uid="{D3C4A69B-169F-455E-A142-04431D1C8D77}"/>
  <tableColumns count="23">
    <tableColumn id="1" xr3:uid="{4ECD59C9-9C55-489F-A01F-F2AC3CEFF994}" name="Line" dataDxfId="90" totalsRowDxfId="89">
      <calculatedColumnFormula array="1">ROW(Table1[#This Row])-4</calculatedColumnFormula>
    </tableColumn>
    <tableColumn id="8" xr3:uid="{16A40B2A-B59C-4F34-ADF9-FBD668305174}" name="Task name" totalsRowLabel="Total" dataDxfId="88" totalsRowDxfId="87"/>
    <tableColumn id="2" xr3:uid="{BE1FA70C-DD45-4993-AEBE-A6FAAFE96D4F}" name="Date completed" dataDxfId="86" totalsRowDxfId="85"/>
    <tableColumn id="9" xr3:uid="{B4CBE8CE-D193-475A-905F-9FFCAA2A5077}" name="Evidence supplied for task completion" dataDxfId="84" totalsRowDxfId="83"/>
    <tableColumn id="4" xr3:uid="{E76743D5-E1EB-4490-A66C-28ADE55A4432}" name="Planned total expenditure_x000a_(GBP)" totalsRowFunction="custom" dataDxfId="82" totalsRowDxfId="81">
      <totalsRowFormula>+SUM(Table1[Planned total expenditure
(GBP)])</totalsRowFormula>
    </tableColumn>
    <tableColumn id="12" xr3:uid="{6A00AB31-DB2F-46E7-9287-D7FD9F888A9A}" name="Total direct expenditure Q1_x000a_(GBP)" totalsRowFunction="custom" dataDxfId="80" totalsRowDxfId="79">
      <totalsRowFormula>SUBTOTAL(9,Table1[Total direct expenditure Q1
(GBP)])</totalsRowFormula>
    </tableColumn>
    <tableColumn id="10" xr3:uid="{C2707B12-8E10-4142-AD75-8B18AE1BF03C}" name="Total direct expenditure Q2_x000a_(GBP)2" totalsRowFunction="custom" dataDxfId="78" totalsRowDxfId="77">
      <totalsRowFormula>+SUM(Table1[Total direct expenditure Q2
(GBP)2])</totalsRowFormula>
    </tableColumn>
    <tableColumn id="5" xr3:uid="{B07E41EB-DD02-41B4-9339-F97B6DA4FAEF}" name="Total direct expenditure Q3_x000a_(GBP)3" totalsRowFunction="custom" dataDxfId="76" totalsRowDxfId="75">
      <totalsRowFormula>+SUM(Table1[Total direct expenditure Q3
(GBP)3])</totalsRowFormula>
    </tableColumn>
    <tableColumn id="22" xr3:uid="{1537EAD8-AAF5-4CC4-ABC8-7AA8BE915FD4}" name="Total direct expenditure Q4_x000a_(GBP)4" totalsRowFunction="custom" dataDxfId="74" totalsRowDxfId="73">
      <totalsRowFormula>+SUM(Table1[Total direct expenditure Q4
(GBP)4])</totalsRowFormula>
    </tableColumn>
    <tableColumn id="13" xr3:uid="{864E5E3C-F95C-4625-A7D4-0F137D50807C}" name="Overhead %" dataDxfId="72" totalsRowDxfId="71"/>
    <tableColumn id="14" xr3:uid="{6D17CF85-C346-4FCF-A157-23E7C6263420}" name="Overhead Q1 total" totalsRowFunction="custom" dataDxfId="70" totalsRowDxfId="69">
      <calculatedColumnFormula>Table1[[#This Row],[Total direct expenditure Q1
(GBP)]]*Table1[[#This Row],[Overhead %]]</calculatedColumnFormula>
      <totalsRowFormula>SUBTOTAL(9,Table1[Overhead Q1 total])</totalsRowFormula>
    </tableColumn>
    <tableColumn id="7" xr3:uid="{42291D23-4F41-435C-B212-BD648BF06B2F}" name="Overhead Q2 total2" totalsRowFunction="custom" dataDxfId="68" totalsRowDxfId="67">
      <calculatedColumnFormula>+Table1[[#This Row],[Total direct expenditure Q2
(GBP)2]]*Table1[[#This Row],[Overhead %]]</calculatedColumnFormula>
      <totalsRowFormula>+SUM(Table1[Overhead Q2 total2])</totalsRowFormula>
    </tableColumn>
    <tableColumn id="17" xr3:uid="{B52BDACD-9FB2-47DB-BCCD-9D0311906930}" name="Overhead Q3 total3" totalsRowFunction="custom" dataDxfId="66" totalsRowDxfId="65">
      <calculatedColumnFormula>+Table1[[#This Row],[Total direct expenditure Q3
(GBP)3]]*Table1[[#This Row],[Overhead %]]</calculatedColumnFormula>
      <totalsRowFormula>+SUM(Table1[Overhead Q3 total3])</totalsRowFormula>
    </tableColumn>
    <tableColumn id="3" xr3:uid="{86C5AF0A-1742-4231-A60C-DA1C7A41630B}" name="Actual total expenditure (Dec2023) Q1" totalsRowFunction="custom" totalsRowDxfId="64">
      <calculatedColumnFormula>Table1[[#This Row],[Total direct expenditure Q1
(GBP)]]+Table1[[#This Row],[Overhead Q1 total]]</calculatedColumnFormula>
      <totalsRowFormula>SUBTOTAL(9,Table1[Actual total expenditure (Dec2023) Q1])</totalsRowFormula>
    </tableColumn>
    <tableColumn id="11" xr3:uid="{6AA873F4-3FE0-4F7A-907F-B8D78EFF1710}" name="Actual total expenditure (Mar2024) Q2" totalsRowFunction="custom" totalsRowDxfId="63">
      <calculatedColumnFormula>+Table1[[#This Row],[Total direct expenditure Q2
(GBP)2]]+Table1[[#This Row],[Overhead Q2 total2]]</calculatedColumnFormula>
      <totalsRowFormula>+SUM(Table1[Actual total expenditure (Mar2024) Q2])</totalsRowFormula>
    </tableColumn>
    <tableColumn id="18" xr3:uid="{D1872DD0-D9DA-420E-B570-5D7C3C82A3F2}" name="Actual total expenditure (Jun2024) Q3" totalsRowFunction="custom" totalsRowDxfId="62">
      <calculatedColumnFormula>+Table1[[#This Row],[Total direct expenditure Q3
(GBP)3]]+Table1[[#This Row],[Overhead Q3 total3]]</calculatedColumnFormula>
      <totalsRowFormula>+SUM(Table1[Actual total expenditure (Jun2024) Q3])</totalsRowFormula>
    </tableColumn>
    <tableColumn id="23" xr3:uid="{9546D960-EC2D-4D34-BA8B-8B67957FA3B8}" name="Actual total expenditure (Sep2024) Q4" totalsRowFunction="custom" totalsRowDxfId="61">
      <calculatedColumnFormula>+Table1[[#This Row],[Total direct expenditure Q4
(GBP)4]]</calculatedColumnFormula>
      <totalsRowFormula>+SUM(Table1[Actual total expenditure (Sep2024) Q4])</totalsRowFormula>
    </tableColumn>
    <tableColumn id="15" xr3:uid="{66D093AE-4C6D-4BB5-B87A-69184D71DC07}" name="Total expenditure Q1+Q2+Q3+Q4" totalsRowFunction="custom" dataDxfId="60" totalsRowDxfId="59">
      <calculatedColumnFormula>+Table1[[#This Row],[Actual total expenditure (Dec2023) Q1]]+Table1[[#This Row],[Actual total expenditure (Mar2024) Q2]]+Table1[[#This Row],[Actual total expenditure (Jun2024) Q3]]+Table1[[#This Row],[Actual total expenditure (Sep2024) Q4]]</calculatedColumnFormula>
      <totalsRowFormula>+SUM(Table1[Total expenditure Q1+Q2+Q3+Q4])</totalsRowFormula>
    </tableColumn>
    <tableColumn id="6" xr3:uid="{E17EA223-8F42-458C-B1D5-35C86AC2E9C7}" name="Variance" totalsRowFunction="custom" totalsRowDxfId="58">
      <calculatedColumnFormula>+Table1[[#This Row],[Planned total expenditure
(GBP)]]-Table1[[#This Row],[Total expenditure Q1+Q2+Q3+Q4]]</calculatedColumnFormula>
      <totalsRowFormula>SUM(Table1[Variance])</totalsRowFormula>
    </tableColumn>
    <tableColumn id="16" xr3:uid="{666D394D-3352-48BF-8163-4F521422913A}" name="Expenditure in percentage" dataDxfId="57" totalsRowDxfId="56">
      <calculatedColumnFormula>S5/F5</calculatedColumnFormula>
    </tableColumn>
    <tableColumn id="19" xr3:uid="{DD8F74AF-4BB3-493F-A3E9-C98EA992EEFD}" name="Palladium Notes" dataDxfId="55" totalsRowDxfId="54"/>
    <tableColumn id="20" xr3:uid="{0A856017-6BFD-4652-BDF5-6885D05F0FA6}" name="UNDP Notes" dataDxfId="53" totalsRowDxfId="52"/>
    <tableColumn id="21" xr3:uid="{8ED60928-4338-4E08-9820-8BB8469ED421}" name="Notes3" dataDxfId="51" totalsRowDxfId="5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EA48ED7-C2B3-48D9-8929-34AEAF8ADCE1}" name="Table13" displayName="Table13" ref="B4:X47" totalsRowCount="1" headerRowDxfId="49" dataDxfId="48" totalsRowDxfId="46" tableBorderDxfId="47">
  <autoFilter ref="B4:X46" xr:uid="{D3C4A69B-169F-455E-A142-04431D1C8D77}"/>
  <tableColumns count="23">
    <tableColumn id="1" xr3:uid="{5CD35AD7-E686-4900-90A8-514F92330BF9}" name="Line" dataDxfId="45" totalsRowDxfId="44">
      <calculatedColumnFormula array="1">ROW(Table13[#This Row])-4</calculatedColumnFormula>
    </tableColumn>
    <tableColumn id="8" xr3:uid="{DCC20F94-5983-46E7-9E75-5D7434BE063A}" name="Task name" dataDxfId="43" totalsRowDxfId="42"/>
    <tableColumn id="2" xr3:uid="{041B5623-4182-47F9-80A5-92FDBA2EE9EE}" name="Date completed" totalsRowFunction="sum" dataDxfId="41" totalsRowDxfId="40"/>
    <tableColumn id="9" xr3:uid="{93988C2B-77F7-49A3-BF7D-039F3C7335DB}" name="Evidence supplied for task completion" dataDxfId="39" totalsRowDxfId="38"/>
    <tableColumn id="4" xr3:uid="{14D78C9D-1B18-4CA7-B8B0-DEF6CBAB3D2B}" name="Planned total expenditure_x000a_(GBP)" totalsRowFunction="custom" dataDxfId="37" totalsRowDxfId="36">
      <totalsRowFormula>+SUM(Table13[Planned total expenditure
(GBP)])</totalsRowFormula>
    </tableColumn>
    <tableColumn id="12" xr3:uid="{4F17A498-01E9-4174-8559-053818D3B836}" name="Total direct expenditure Q1_x000a_(GBP)" totalsRowFunction="custom" dataDxfId="35" totalsRowDxfId="34">
      <totalsRowFormula>SUBTOTAL(9,Table13[Total direct expenditure Q1
(GBP)])</totalsRowFormula>
    </tableColumn>
    <tableColumn id="10" xr3:uid="{A947FA6A-BB40-4EF0-8973-98160C3D7371}" name="Total direct expenditure Q2_x000a_(GBP)2" totalsRowFunction="custom" dataDxfId="33" totalsRowDxfId="32">
      <totalsRowFormula>+SUM(Table13[Total direct expenditure Q2
(GBP)2])</totalsRowFormula>
    </tableColumn>
    <tableColumn id="5" xr3:uid="{8459D4E5-DE9B-46F3-9176-D42F3F4C8D9E}" name="Total direct expenditure Q3_x000a_(GBP)3" totalsRowFunction="custom" dataDxfId="31" totalsRowDxfId="30">
      <totalsRowFormula>+SUM(Table13[Total direct expenditure Q3
(GBP)3])</totalsRowFormula>
    </tableColumn>
    <tableColumn id="22" xr3:uid="{C439F459-5BB6-40D9-965C-9336C0A35779}" name="Total direct expenditure Q4_x000a_(GBP)4" totalsRowFunction="custom" dataDxfId="29" totalsRowDxfId="28">
      <totalsRowFormula>+SUM(Table13[Total direct expenditure Q4
(GBP)4])</totalsRowFormula>
    </tableColumn>
    <tableColumn id="13" xr3:uid="{5C38AB3A-4876-4E4E-9517-D61C2B18EE47}" name="Overhead %" dataDxfId="27" totalsRowDxfId="26"/>
    <tableColumn id="14" xr3:uid="{4ED6C0B2-682B-49C8-8B3F-5957C8918CB6}" name="Overhead Q1 total" totalsRowFunction="custom" dataDxfId="25" totalsRowDxfId="24">
      <calculatedColumnFormula>Table13[[#This Row],[Total direct expenditure Q1
(GBP)]]*Table13[[#This Row],[Overhead %]]</calculatedColumnFormula>
      <totalsRowFormula>SUBTOTAL(9,Table13[Overhead Q1 total])</totalsRowFormula>
    </tableColumn>
    <tableColumn id="7" xr3:uid="{28C46993-83AE-46D2-AA01-306408841CE2}" name="Overhead Q2 total2" totalsRowFunction="custom" dataDxfId="23" totalsRowDxfId="22">
      <calculatedColumnFormula>+Table13[[#This Row],[Total direct expenditure Q2
(GBP)2]]*Table13[[#This Row],[Overhead %]]</calculatedColumnFormula>
      <totalsRowFormula>+SUM(Table13[Overhead Q2 total2])</totalsRowFormula>
    </tableColumn>
    <tableColumn id="17" xr3:uid="{948710E9-DDA0-449E-8E8F-FE1DAC2BEA97}" name="Overhead Q3 total3" totalsRowFunction="custom" dataDxfId="21" totalsRowDxfId="20">
      <calculatedColumnFormula>+Table13[[#This Row],[Total direct expenditure Q3
(GBP)3]]*Table13[[#This Row],[Overhead %]]</calculatedColumnFormula>
      <totalsRowFormula>+SUM(Table13[Overhead Q3 total3])</totalsRowFormula>
    </tableColumn>
    <tableColumn id="3" xr3:uid="{856A4A18-C056-41A2-91B8-D8222A61E71E}" name="Actual total expenditure (Dec2023) Q1" totalsRowFunction="custom" dataDxfId="19" totalsRowDxfId="18">
      <calculatedColumnFormula>Table13[[#This Row],[Total direct expenditure Q1
(GBP)]]+Table13[[#This Row],[Overhead Q1 total]]</calculatedColumnFormula>
      <totalsRowFormula>SUBTOTAL(9,Table13[Actual total expenditure (Dec2023) Q1])</totalsRowFormula>
    </tableColumn>
    <tableColumn id="11" xr3:uid="{0A61BA45-371A-4D79-91DA-840E0296F31A}" name="Actual total expenditure (Mar2024) Q2" totalsRowFunction="custom" dataDxfId="17" totalsRowDxfId="16">
      <calculatedColumnFormula>+Table13[[#This Row],[Total direct expenditure Q2
(GBP)2]]+Table13[[#This Row],[Overhead Q2 total2]]</calculatedColumnFormula>
      <totalsRowFormula>+SUM(Table13[Actual total expenditure (Mar2024) Q2])</totalsRowFormula>
    </tableColumn>
    <tableColumn id="18" xr3:uid="{04CA5CFB-3CFE-4621-BCAB-D18540CA0FA7}" name="Actual total expenditure (Jun2024) Q3" totalsRowFunction="custom" dataDxfId="15" totalsRowDxfId="14">
      <calculatedColumnFormula>+Table13[[#This Row],[Total direct expenditure Q3
(GBP)3]]+Table13[[#This Row],[Overhead Q3 total3]]</calculatedColumnFormula>
      <totalsRowFormula>+SUM(Table13[Actual total expenditure (Jun2024) Q3])</totalsRowFormula>
    </tableColumn>
    <tableColumn id="23" xr3:uid="{BDA0D0F0-5FCF-4BF4-90A4-082A54D03FF7}" name="Actual total expenditure (Jun2024) Q4" totalsRowFunction="custom" dataDxfId="13" totalsRowDxfId="12">
      <calculatedColumnFormula>+Table13[[#This Row],[Total direct expenditure Q4
(GBP)4]]</calculatedColumnFormula>
      <totalsRowFormula>+SUM(Table13[Actual total expenditure (Jun2024) Q4])</totalsRowFormula>
    </tableColumn>
    <tableColumn id="15" xr3:uid="{C811E35A-653C-49F9-A4D0-A0E36E714549}" name="Total expenditure Q1+Q2+Q3+Q4" totalsRowFunction="custom" dataDxfId="11" totalsRowDxfId="10">
      <calculatedColumnFormula>+Table13[[#This Row],[Actual total expenditure (Dec2023) Q1]]+Table13[[#This Row],[Actual total expenditure (Mar2024) Q2]]+Table13[[#This Row],[Actual total expenditure (Jun2024) Q3]]+Table13[[#This Row],[Actual total expenditure (Jun2024) Q4]]</calculatedColumnFormula>
      <totalsRowFormula>+SUM(Table13[Total expenditure Q1+Q2+Q3+Q4])</totalsRowFormula>
    </tableColumn>
    <tableColumn id="6" xr3:uid="{91341380-7993-415B-852D-E254E3F3EA5D}" name="Variance" totalsRowFunction="custom" dataDxfId="9" totalsRowDxfId="8">
      <calculatedColumnFormula>+Table13[[#This Row],[Planned total expenditure
(GBP)]]-Table13[[#This Row],[Total expenditure Q1+Q2+Q3+Q4]]</calculatedColumnFormula>
      <totalsRowFormula>SUM(Table13[Variance])</totalsRowFormula>
    </tableColumn>
    <tableColumn id="16" xr3:uid="{43155156-08D3-45E7-A5EE-CE352E965A29}" name="Expenditure in percentage" dataDxfId="7" totalsRowDxfId="6">
      <calculatedColumnFormula>S5/F5</calculatedColumnFormula>
    </tableColumn>
    <tableColumn id="19" xr3:uid="{1C6F5192-FD9A-4CEE-91BD-A462ACA440F7}" name="Notes" dataDxfId="5" totalsRowDxfId="4"/>
    <tableColumn id="20" xr3:uid="{D47606A0-E322-4A00-9B5F-FA74484B8674}" name="Notes2" dataDxfId="3" totalsRowDxfId="2"/>
    <tableColumn id="21" xr3:uid="{48DB3823-8817-4699-A214-F093E6DFB637}" name="Notes3"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F85D2-9705-42CD-ADC5-AB1CE1B512B4}">
  <sheetPr>
    <pageSetUpPr autoPageBreaks="0"/>
  </sheetPr>
  <dimension ref="B1:E68"/>
  <sheetViews>
    <sheetView topLeftCell="A51" zoomScaleNormal="100" workbookViewId="0">
      <selection activeCell="E66" sqref="E66"/>
    </sheetView>
  </sheetViews>
  <sheetFormatPr baseColWidth="10" defaultColWidth="8.85546875" defaultRowHeight="14.25"/>
  <cols>
    <col min="1" max="1" width="3.5703125" style="1" customWidth="1"/>
    <col min="2" max="2" width="11.85546875" style="1" customWidth="1"/>
    <col min="3" max="3" width="41.85546875" style="1" customWidth="1"/>
    <col min="4" max="4" width="36" style="1" customWidth="1"/>
    <col min="5" max="16384" width="8.85546875" style="1"/>
  </cols>
  <sheetData>
    <row r="1" spans="2:5" ht="23.45" customHeight="1"/>
    <row r="2" spans="2:5" ht="56.25" customHeight="1"/>
    <row r="3" spans="2:5" s="3" customFormat="1" ht="34.5" customHeight="1">
      <c r="B3" s="63" t="s">
        <v>0</v>
      </c>
      <c r="C3" s="63"/>
    </row>
    <row r="6" spans="2:5" ht="38.450000000000003" customHeight="1">
      <c r="B6" s="234" t="s">
        <v>1</v>
      </c>
      <c r="C6" s="235"/>
      <c r="D6" s="94" t="s">
        <v>2</v>
      </c>
    </row>
    <row r="7" spans="2:5" ht="16.5" customHeight="1">
      <c r="B7" s="236" t="s">
        <v>3</v>
      </c>
      <c r="C7" s="237"/>
      <c r="D7" s="95" t="s">
        <v>4</v>
      </c>
    </row>
    <row r="8" spans="2:5" ht="16.5" customHeight="1">
      <c r="B8" s="238" t="s">
        <v>5</v>
      </c>
      <c r="C8" s="239"/>
      <c r="D8" s="95" t="s">
        <v>6</v>
      </c>
    </row>
    <row r="9" spans="2:5" ht="16.5" customHeight="1">
      <c r="B9" s="236" t="s">
        <v>7</v>
      </c>
      <c r="C9" s="244"/>
      <c r="D9" s="133" t="s">
        <v>8</v>
      </c>
    </row>
    <row r="10" spans="2:5" ht="16.5" customHeight="1">
      <c r="B10" s="240" t="s">
        <v>9</v>
      </c>
      <c r="C10" s="241"/>
      <c r="D10" s="134" t="s">
        <v>10</v>
      </c>
    </row>
    <row r="11" spans="2:5" ht="15">
      <c r="E11" s="62"/>
    </row>
    <row r="13" spans="2:5" ht="21.6" customHeight="1">
      <c r="B13" s="242" t="s">
        <v>11</v>
      </c>
      <c r="C13" s="243"/>
      <c r="D13" s="64"/>
    </row>
    <row r="14" spans="2:5">
      <c r="B14" s="245" t="s">
        <v>12</v>
      </c>
      <c r="C14" s="245"/>
      <c r="D14" s="245"/>
    </row>
    <row r="15" spans="2:5" hidden="1">
      <c r="B15" s="233"/>
      <c r="C15" s="233"/>
      <c r="D15" s="60"/>
    </row>
    <row r="16" spans="2:5" hidden="1">
      <c r="B16" s="232" t="s">
        <v>13</v>
      </c>
      <c r="C16" s="232"/>
      <c r="D16" s="96" t="e">
        <f>SUMIF(#REF!,Summary!B16,Table1[Total direct expenditure Q1
(GBP)])</f>
        <v>#REF!</v>
      </c>
    </row>
    <row r="17" spans="2:4" hidden="1">
      <c r="B17" s="232" t="s">
        <v>14</v>
      </c>
      <c r="C17" s="232"/>
      <c r="D17" s="96" t="e">
        <f>SUMIF(#REF!,Summary!B17,Table1[Total direct expenditure Q1
(GBP)])</f>
        <v>#REF!</v>
      </c>
    </row>
    <row r="18" spans="2:4" hidden="1">
      <c r="B18" s="232" t="s">
        <v>15</v>
      </c>
      <c r="C18" s="232"/>
      <c r="D18" s="96" t="e">
        <f>SUMIF(#REF!,Summary!B18,Table1[Total direct expenditure Q1
(GBP)])</f>
        <v>#REF!</v>
      </c>
    </row>
    <row r="19" spans="2:4" hidden="1">
      <c r="B19" s="232" t="s">
        <v>16</v>
      </c>
      <c r="C19" s="232"/>
      <c r="D19" s="96" t="e">
        <f>SUMIF(#REF!,Summary!B19,Table1[Total direct expenditure Q1
(GBP)])</f>
        <v>#REF!</v>
      </c>
    </row>
    <row r="20" spans="2:4" hidden="1">
      <c r="B20" s="232" t="s">
        <v>17</v>
      </c>
      <c r="C20" s="232"/>
      <c r="D20" s="96" t="e">
        <f>SUMIF(#REF!,Summary!B20,Table1[Total direct expenditure Q1
(GBP)])</f>
        <v>#REF!</v>
      </c>
    </row>
    <row r="21" spans="2:4" hidden="1">
      <c r="B21" s="232" t="s">
        <v>18</v>
      </c>
      <c r="C21" s="232"/>
      <c r="D21" s="96" t="e">
        <f>SUMIF(#REF!,Summary!B21,Table1[Total direct expenditure Q1
(GBP)])</f>
        <v>#REF!</v>
      </c>
    </row>
    <row r="22" spans="2:4" hidden="1">
      <c r="B22" s="232" t="s">
        <v>19</v>
      </c>
      <c r="C22" s="232"/>
      <c r="D22" s="96" t="e">
        <f>SUMIF(#REF!,Summary!B22,Table1[Total direct expenditure Q1
(GBP)])</f>
        <v>#REF!</v>
      </c>
    </row>
    <row r="23" spans="2:4" hidden="1">
      <c r="B23" s="232" t="s">
        <v>20</v>
      </c>
      <c r="C23" s="232"/>
      <c r="D23" s="96" t="e">
        <f>SUMIF(#REF!,Summary!B23,Table1[Total direct expenditure Q1
(GBP)])</f>
        <v>#REF!</v>
      </c>
    </row>
    <row r="24" spans="2:4" hidden="1">
      <c r="B24" s="52"/>
      <c r="C24" s="52"/>
      <c r="D24" s="61"/>
    </row>
    <row r="25" spans="2:4" hidden="1">
      <c r="B25" s="232" t="s">
        <v>21</v>
      </c>
      <c r="C25" s="232"/>
      <c r="D25" s="97" t="e">
        <f>SUMIF(#REF!,Summary!B25,Table1[Total direct expenditure Q1
(GBP)])</f>
        <v>#REF!</v>
      </c>
    </row>
    <row r="26" spans="2:4" hidden="1">
      <c r="B26" s="232" t="s">
        <v>22</v>
      </c>
      <c r="C26" s="232"/>
      <c r="D26" s="97" t="e">
        <f>SUMIF(#REF!,Summary!B26,Table1[Total direct expenditure Q1
(GBP)])</f>
        <v>#REF!</v>
      </c>
    </row>
    <row r="27" spans="2:4" hidden="1">
      <c r="B27" s="232" t="s">
        <v>23</v>
      </c>
      <c r="C27" s="232"/>
      <c r="D27" s="97" t="e">
        <f>SUMIF(#REF!,Summary!B27,Table1[Total direct expenditure Q1
(GBP)])</f>
        <v>#REF!</v>
      </c>
    </row>
    <row r="28" spans="2:4" hidden="1">
      <c r="B28" s="232" t="s">
        <v>24</v>
      </c>
      <c r="C28" s="232"/>
      <c r="D28" s="97" t="e">
        <f>SUMIF(#REF!,Summary!B28,Table1[Total direct expenditure Q1
(GBP)])</f>
        <v>#REF!</v>
      </c>
    </row>
    <row r="29" spans="2:4" hidden="1">
      <c r="B29" s="232" t="s">
        <v>25</v>
      </c>
      <c r="C29" s="232"/>
      <c r="D29" s="97" t="e">
        <f>SUMIF(#REF!,Summary!B29,Table1[Total direct expenditure Q1
(GBP)])</f>
        <v>#REF!</v>
      </c>
    </row>
    <row r="30" spans="2:4" hidden="1">
      <c r="B30" s="232" t="s">
        <v>26</v>
      </c>
      <c r="C30" s="232"/>
      <c r="D30" s="97" t="e">
        <f>SUMIF(#REF!,Summary!B30,Table1[Total direct expenditure Q1
(GBP)])</f>
        <v>#REF!</v>
      </c>
    </row>
    <row r="31" spans="2:4" hidden="1">
      <c r="B31" s="232" t="s">
        <v>27</v>
      </c>
      <c r="C31" s="232"/>
      <c r="D31" s="97" t="e">
        <f>SUMIF(#REF!,Summary!B31,Table1[Total direct expenditure Q1
(GBP)])</f>
        <v>#REF!</v>
      </c>
    </row>
    <row r="32" spans="2:4" hidden="1">
      <c r="B32" s="232" t="s">
        <v>28</v>
      </c>
      <c r="C32" s="232"/>
      <c r="D32" s="97" t="e">
        <f>SUMIF(#REF!,Summary!B32,Table1[Total direct expenditure Q1
(GBP)])</f>
        <v>#REF!</v>
      </c>
    </row>
    <row r="33" spans="2:4" hidden="1">
      <c r="B33" s="232" t="s">
        <v>29</v>
      </c>
      <c r="C33" s="232"/>
      <c r="D33" s="97" t="e">
        <f>SUMIF(#REF!,Summary!B33,Table1[Total direct expenditure Q1
(GBP)])</f>
        <v>#REF!</v>
      </c>
    </row>
    <row r="34" spans="2:4">
      <c r="B34" s="247" t="s">
        <v>30</v>
      </c>
      <c r="C34" s="247"/>
      <c r="D34" s="98">
        <f>Table1[[#Totals],[Total direct expenditure Q1
(GBP)]]</f>
        <v>66786.775383473811</v>
      </c>
    </row>
    <row r="35" spans="2:4">
      <c r="B35" s="246" t="s">
        <v>31</v>
      </c>
      <c r="C35" s="246"/>
      <c r="D35" s="97">
        <f>Table1[[#Totals],[Overhead Q1 total]]</f>
        <v>0</v>
      </c>
    </row>
    <row r="36" spans="2:4">
      <c r="B36" s="248" t="s">
        <v>32</v>
      </c>
      <c r="C36" s="248"/>
      <c r="D36" s="98">
        <f>D34+D35</f>
        <v>66786.775383473811</v>
      </c>
    </row>
    <row r="37" spans="2:4" s="74" customFormat="1">
      <c r="B37" s="135"/>
      <c r="C37" s="135"/>
      <c r="D37" s="136"/>
    </row>
    <row r="38" spans="2:4">
      <c r="B38" s="245" t="s">
        <v>33</v>
      </c>
      <c r="C38" s="245"/>
      <c r="D38" s="245"/>
    </row>
    <row r="39" spans="2:4">
      <c r="B39" s="247" t="s">
        <v>30</v>
      </c>
      <c r="C39" s="247"/>
      <c r="D39" s="98">
        <f>Table1[[#Totals],[Total direct expenditure Q2
(GBP)2]]</f>
        <v>96437.167751239831</v>
      </c>
    </row>
    <row r="40" spans="2:4">
      <c r="B40" s="246" t="s">
        <v>31</v>
      </c>
      <c r="C40" s="246"/>
      <c r="D40" s="97">
        <f>Table1[[#Totals],[Overhead Q2 total2]]</f>
        <v>0</v>
      </c>
    </row>
    <row r="41" spans="2:4">
      <c r="B41" s="248" t="s">
        <v>32</v>
      </c>
      <c r="C41" s="248"/>
      <c r="D41" s="98">
        <f>D39+D40</f>
        <v>96437.167751239831</v>
      </c>
    </row>
    <row r="42" spans="2:4" s="74" customFormat="1">
      <c r="B42" s="135"/>
      <c r="C42" s="135"/>
      <c r="D42" s="136"/>
    </row>
    <row r="43" spans="2:4">
      <c r="B43" s="245" t="s">
        <v>34</v>
      </c>
      <c r="C43" s="245"/>
      <c r="D43" s="245"/>
    </row>
    <row r="44" spans="2:4">
      <c r="B44" s="247" t="s">
        <v>30</v>
      </c>
      <c r="C44" s="247"/>
      <c r="D44" s="98">
        <f>Table1[[#Totals],[Total direct expenditure Q3
(GBP)3]]</f>
        <v>42696.935868040826</v>
      </c>
    </row>
    <row r="45" spans="2:4">
      <c r="B45" s="246" t="s">
        <v>31</v>
      </c>
      <c r="C45" s="246"/>
      <c r="D45" s="97">
        <f>Table1[[#Totals],[Overhead Q3 total3]]</f>
        <v>0</v>
      </c>
    </row>
    <row r="46" spans="2:4">
      <c r="B46" s="249" t="s">
        <v>32</v>
      </c>
      <c r="C46" s="250"/>
      <c r="D46" s="98">
        <f>D44+D45</f>
        <v>42696.935868040826</v>
      </c>
    </row>
    <row r="48" spans="2:4">
      <c r="B48" s="245" t="s">
        <v>35</v>
      </c>
      <c r="C48" s="245"/>
      <c r="D48" s="245"/>
    </row>
    <row r="49" spans="2:5">
      <c r="B49" s="247" t="s">
        <v>30</v>
      </c>
      <c r="C49" s="247"/>
      <c r="D49" s="98">
        <f>Table1[[#Totals],[Actual total expenditure (Sep2024) Q4]]</f>
        <v>194038.31946959012</v>
      </c>
    </row>
    <row r="50" spans="2:5">
      <c r="B50" s="246" t="s">
        <v>31</v>
      </c>
      <c r="C50" s="246"/>
      <c r="D50" s="97">
        <f>Table1[[#Totals],[Overhead Q3 total3]]</f>
        <v>0</v>
      </c>
    </row>
    <row r="51" spans="2:5">
      <c r="B51" s="249" t="s">
        <v>32</v>
      </c>
      <c r="C51" s="250"/>
      <c r="D51" s="98">
        <f>D49+D50</f>
        <v>194038.31946959012</v>
      </c>
    </row>
    <row r="53" spans="2:5">
      <c r="B53" s="248" t="s">
        <v>36</v>
      </c>
      <c r="C53" s="248"/>
      <c r="D53" s="98">
        <f>D36+D41+D46+D51</f>
        <v>399959.19847234455</v>
      </c>
    </row>
    <row r="55" spans="2:5">
      <c r="B55" s="248" t="s">
        <v>37</v>
      </c>
      <c r="C55" s="248"/>
      <c r="D55" s="98">
        <f>D53*9%</f>
        <v>35996.327862511011</v>
      </c>
    </row>
    <row r="57" spans="2:5">
      <c r="B57" s="248" t="s">
        <v>38</v>
      </c>
      <c r="C57" s="248"/>
      <c r="D57" s="98">
        <f>D53+D55</f>
        <v>435955.52633485559</v>
      </c>
    </row>
    <row r="59" spans="2:5">
      <c r="B59" s="248" t="s">
        <v>39</v>
      </c>
      <c r="C59" s="248"/>
      <c r="D59" s="137">
        <f>D57/'Transaction list'!F54</f>
        <v>0.99926412810767162</v>
      </c>
    </row>
    <row r="62" spans="2:5">
      <c r="B62" s="248" t="s">
        <v>40</v>
      </c>
      <c r="C62" s="248"/>
      <c r="D62" s="192">
        <f>(Table1[[#Totals],[Planned total expenditure
(GBP)]])-D53</f>
        <v>293.80152765545063</v>
      </c>
      <c r="E62" s="193" t="s">
        <v>41</v>
      </c>
    </row>
    <row r="63" spans="2:5">
      <c r="D63" s="193"/>
      <c r="E63" s="193"/>
    </row>
    <row r="64" spans="2:5">
      <c r="B64" s="248" t="s">
        <v>37</v>
      </c>
      <c r="C64" s="248"/>
      <c r="D64" s="192">
        <f>D62*9%</f>
        <v>26.442137488990557</v>
      </c>
      <c r="E64" s="193" t="s">
        <v>42</v>
      </c>
    </row>
    <row r="66" spans="2:5">
      <c r="B66" s="248" t="s">
        <v>38</v>
      </c>
      <c r="C66" s="248"/>
      <c r="D66" s="192">
        <f>D62+D64</f>
        <v>320.2436651444412</v>
      </c>
      <c r="E66" s="193" t="s">
        <v>43</v>
      </c>
    </row>
    <row r="68" spans="2:5">
      <c r="B68" s="248" t="s">
        <v>44</v>
      </c>
      <c r="C68" s="248"/>
      <c r="D68" s="137">
        <f>D66/'Transaction list'!F54</f>
        <v>7.3403819312240675E-4</v>
      </c>
    </row>
  </sheetData>
  <mergeCells count="48">
    <mergeCell ref="B68:C68"/>
    <mergeCell ref="B55:C55"/>
    <mergeCell ref="B57:C57"/>
    <mergeCell ref="B62:C62"/>
    <mergeCell ref="B64:C64"/>
    <mergeCell ref="B66:C66"/>
    <mergeCell ref="B59:C59"/>
    <mergeCell ref="B53:C53"/>
    <mergeCell ref="B34:C34"/>
    <mergeCell ref="B35:C35"/>
    <mergeCell ref="B36:C36"/>
    <mergeCell ref="B38:D38"/>
    <mergeCell ref="B39:C39"/>
    <mergeCell ref="B48:D48"/>
    <mergeCell ref="B49:C49"/>
    <mergeCell ref="B50:C50"/>
    <mergeCell ref="B46:C46"/>
    <mergeCell ref="B51:C51"/>
    <mergeCell ref="B23:C23"/>
    <mergeCell ref="B27:C27"/>
    <mergeCell ref="B25:C25"/>
    <mergeCell ref="B26:C26"/>
    <mergeCell ref="B45:C45"/>
    <mergeCell ref="B31:C31"/>
    <mergeCell ref="B32:C32"/>
    <mergeCell ref="B44:C44"/>
    <mergeCell ref="B40:C40"/>
    <mergeCell ref="B41:C41"/>
    <mergeCell ref="B43:D43"/>
    <mergeCell ref="B33:C33"/>
    <mergeCell ref="B28:C28"/>
    <mergeCell ref="B29:C29"/>
    <mergeCell ref="B30:C30"/>
    <mergeCell ref="B15:C15"/>
    <mergeCell ref="B6:C6"/>
    <mergeCell ref="B7:C7"/>
    <mergeCell ref="B8:C8"/>
    <mergeCell ref="B10:C10"/>
    <mergeCell ref="B13:C13"/>
    <mergeCell ref="B9:C9"/>
    <mergeCell ref="B14:D14"/>
    <mergeCell ref="B20:C20"/>
    <mergeCell ref="B22:C22"/>
    <mergeCell ref="B16:C16"/>
    <mergeCell ref="B18:C18"/>
    <mergeCell ref="B19:C19"/>
    <mergeCell ref="B17:C17"/>
    <mergeCell ref="B21:C21"/>
  </mergeCells>
  <phoneticPr fontId="34"/>
  <conditionalFormatting sqref="D16:D23">
    <cfRule type="cellIs" dxfId="125" priority="6" operator="notBetween">
      <formula>0</formula>
      <formula>1000000</formula>
    </cfRule>
  </conditionalFormatting>
  <conditionalFormatting sqref="D25:D33">
    <cfRule type="cellIs" dxfId="124" priority="5" operator="notBetween">
      <formula>0</formula>
      <formula>1000000</formula>
    </cfRule>
  </conditionalFormatting>
  <conditionalFormatting sqref="D35">
    <cfRule type="cellIs" dxfId="123" priority="3" operator="notBetween">
      <formula>0</formula>
      <formula>1000000</formula>
    </cfRule>
  </conditionalFormatting>
  <conditionalFormatting sqref="D40">
    <cfRule type="cellIs" dxfId="122" priority="2" operator="notBetween">
      <formula>0</formula>
      <formula>1000000</formula>
    </cfRule>
  </conditionalFormatting>
  <conditionalFormatting sqref="D45">
    <cfRule type="cellIs" dxfId="121" priority="4" operator="notBetween">
      <formula>0</formula>
      <formula>1000000</formula>
    </cfRule>
  </conditionalFormatting>
  <conditionalFormatting sqref="D50">
    <cfRule type="cellIs" dxfId="120" priority="1" operator="notBetween">
      <formula>0</formula>
      <formula>1000000</formula>
    </cfRule>
  </conditionalFormatting>
  <dataValidations count="2">
    <dataValidation type="list" allowBlank="1" showInputMessage="1" showErrorMessage="1" sqref="D9" xr:uid="{E9F12556-E35F-423B-8164-ED579A506249}">
      <formula1>"January - March, April - June, July - September, October - December"</formula1>
    </dataValidation>
    <dataValidation type="list" allowBlank="1" showInputMessage="1" showErrorMessage="1" sqref="D10" xr:uid="{0900E4F3-2462-4E93-A5BF-942725EE92D8}">
      <formula1>"2021/22,2022/23,2023/24,2024/25"</formula1>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D3A8E-D5F9-4A19-A50A-D5E6B6854E8B}">
  <dimension ref="B2:L11"/>
  <sheetViews>
    <sheetView zoomScale="205" zoomScaleNormal="205" workbookViewId="0">
      <selection activeCell="E14" sqref="E14"/>
    </sheetView>
  </sheetViews>
  <sheetFormatPr baseColWidth="10" defaultColWidth="8.85546875" defaultRowHeight="14.25"/>
  <cols>
    <col min="1" max="1" width="8.85546875" style="1"/>
    <col min="2" max="2" width="19.140625" style="1" customWidth="1"/>
    <col min="3" max="12" width="12.5703125" style="1" customWidth="1"/>
    <col min="13" max="16384" width="8.85546875" style="1"/>
  </cols>
  <sheetData>
    <row r="2" spans="2:12" s="7" customFormat="1" ht="25.5" customHeight="1">
      <c r="B2" s="251" t="s">
        <v>45</v>
      </c>
      <c r="C2" s="251"/>
      <c r="D2" s="251"/>
      <c r="E2" s="251"/>
      <c r="F2" s="251"/>
    </row>
    <row r="4" spans="2:12" ht="15" thickBot="1"/>
    <row r="5" spans="2:12" ht="27.95" customHeight="1" thickBot="1">
      <c r="B5" s="74"/>
      <c r="C5" s="91" t="s">
        <v>46</v>
      </c>
      <c r="D5" s="92" t="s">
        <v>47</v>
      </c>
      <c r="E5" s="92" t="s">
        <v>48</v>
      </c>
      <c r="F5" s="92" t="s">
        <v>49</v>
      </c>
      <c r="G5" s="92" t="s">
        <v>50</v>
      </c>
      <c r="H5" s="92" t="s">
        <v>51</v>
      </c>
      <c r="I5" s="92" t="s">
        <v>52</v>
      </c>
      <c r="J5" s="92" t="s">
        <v>53</v>
      </c>
      <c r="K5" s="92" t="s">
        <v>54</v>
      </c>
      <c r="L5" s="92" t="s">
        <v>55</v>
      </c>
    </row>
    <row r="6" spans="2:12" ht="30" customHeight="1">
      <c r="B6" s="75" t="s">
        <v>56</v>
      </c>
      <c r="C6" s="68"/>
      <c r="D6" s="31"/>
      <c r="E6" s="31"/>
      <c r="F6" s="31"/>
      <c r="G6" s="31"/>
      <c r="H6" s="31"/>
      <c r="I6" s="31"/>
      <c r="J6" s="31"/>
      <c r="K6" s="31"/>
      <c r="L6" s="69"/>
    </row>
    <row r="7" spans="2:12" ht="30" customHeight="1">
      <c r="B7" s="76" t="s">
        <v>57</v>
      </c>
      <c r="C7" s="93"/>
      <c r="D7" s="65">
        <f t="shared" ref="D7:L7" si="0">C10</f>
        <v>0</v>
      </c>
      <c r="E7" s="65">
        <f t="shared" si="0"/>
        <v>0</v>
      </c>
      <c r="F7" s="65">
        <f t="shared" si="0"/>
        <v>0</v>
      </c>
      <c r="G7" s="65">
        <f t="shared" si="0"/>
        <v>0</v>
      </c>
      <c r="H7" s="65">
        <f t="shared" si="0"/>
        <v>0</v>
      </c>
      <c r="I7" s="65">
        <f t="shared" si="0"/>
        <v>0</v>
      </c>
      <c r="J7" s="65">
        <f t="shared" si="0"/>
        <v>0</v>
      </c>
      <c r="K7" s="65">
        <f t="shared" si="0"/>
        <v>0</v>
      </c>
      <c r="L7" s="67">
        <f t="shared" si="0"/>
        <v>0</v>
      </c>
    </row>
    <row r="8" spans="2:12" ht="30" customHeight="1">
      <c r="B8" s="76" t="s">
        <v>58</v>
      </c>
      <c r="C8" s="37">
        <f>C6</f>
        <v>0</v>
      </c>
      <c r="D8" s="65">
        <f t="shared" ref="D8:L8" si="1">D6-D7</f>
        <v>0</v>
      </c>
      <c r="E8" s="65">
        <f t="shared" si="1"/>
        <v>0</v>
      </c>
      <c r="F8" s="65">
        <f t="shared" si="1"/>
        <v>0</v>
      </c>
      <c r="G8" s="65">
        <f t="shared" si="1"/>
        <v>0</v>
      </c>
      <c r="H8" s="65">
        <f t="shared" si="1"/>
        <v>0</v>
      </c>
      <c r="I8" s="65">
        <f t="shared" si="1"/>
        <v>0</v>
      </c>
      <c r="J8" s="65">
        <f t="shared" si="1"/>
        <v>0</v>
      </c>
      <c r="K8" s="65">
        <f t="shared" si="1"/>
        <v>0</v>
      </c>
      <c r="L8" s="67">
        <f t="shared" si="1"/>
        <v>0</v>
      </c>
    </row>
    <row r="9" spans="2:12" ht="30" customHeight="1">
      <c r="B9" s="76" t="s">
        <v>59</v>
      </c>
      <c r="C9" s="68"/>
      <c r="D9" s="31"/>
      <c r="E9" s="31"/>
      <c r="F9" s="31"/>
      <c r="G9" s="31"/>
      <c r="H9" s="31"/>
      <c r="I9" s="31"/>
      <c r="J9" s="31"/>
      <c r="K9" s="31"/>
      <c r="L9" s="69"/>
    </row>
    <row r="10" spans="2:12" ht="30" customHeight="1" thickBot="1">
      <c r="B10" s="77" t="s">
        <v>60</v>
      </c>
      <c r="C10" s="38">
        <f t="shared" ref="C10:L10" si="2">C6-C9</f>
        <v>0</v>
      </c>
      <c r="D10" s="71">
        <f t="shared" si="2"/>
        <v>0</v>
      </c>
      <c r="E10" s="71">
        <f t="shared" si="2"/>
        <v>0</v>
      </c>
      <c r="F10" s="71">
        <f t="shared" si="2"/>
        <v>0</v>
      </c>
      <c r="G10" s="71">
        <f t="shared" si="2"/>
        <v>0</v>
      </c>
      <c r="H10" s="71">
        <f t="shared" si="2"/>
        <v>0</v>
      </c>
      <c r="I10" s="71">
        <f t="shared" si="2"/>
        <v>0</v>
      </c>
      <c r="J10" s="71">
        <f t="shared" si="2"/>
        <v>0</v>
      </c>
      <c r="K10" s="71">
        <f t="shared" si="2"/>
        <v>0</v>
      </c>
      <c r="L10" s="70">
        <f t="shared" si="2"/>
        <v>0</v>
      </c>
    </row>
    <row r="11" spans="2:12">
      <c r="B11" s="78"/>
    </row>
  </sheetData>
  <mergeCells count="1">
    <mergeCell ref="B2:F2"/>
  </mergeCells>
  <phoneticPr fontId="24" type="noConversion"/>
  <conditionalFormatting sqref="C6:L6">
    <cfRule type="cellIs" dxfId="119" priority="6" operator="notBetween">
      <formula>0</formula>
      <formula>1000000</formula>
    </cfRule>
  </conditionalFormatting>
  <conditionalFormatting sqref="C8:L10">
    <cfRule type="cellIs" dxfId="118" priority="1" operator="notBetween">
      <formula>0</formula>
      <formula>1000000</formula>
    </cfRule>
  </conditionalFormatting>
  <conditionalFormatting sqref="D7:L7">
    <cfRule type="cellIs" dxfId="117" priority="4" operator="notBetween">
      <formula>0</formula>
      <formula>1000000</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B4F04-CE6C-4750-A7EF-687181A7A507}">
  <dimension ref="A1:BA27"/>
  <sheetViews>
    <sheetView zoomScale="145" zoomScaleNormal="145" workbookViewId="0">
      <selection activeCell="L32" sqref="L32"/>
    </sheetView>
  </sheetViews>
  <sheetFormatPr baseColWidth="10" defaultColWidth="8.85546875" defaultRowHeight="14.25" outlineLevelCol="1"/>
  <cols>
    <col min="1" max="1" width="16.42578125" style="6" customWidth="1"/>
    <col min="2" max="2" width="23.42578125" style="6" customWidth="1"/>
    <col min="3" max="3" width="16.140625" style="6" customWidth="1"/>
    <col min="4" max="4" width="13.85546875" style="6" customWidth="1"/>
    <col min="5" max="8" width="8.85546875" style="6" customWidth="1" outlineLevel="1"/>
    <col min="9" max="9" width="16.140625" style="6" customWidth="1"/>
    <col min="10" max="10" width="13.85546875" style="6" customWidth="1"/>
    <col min="11" max="14" width="8.85546875" style="6" customWidth="1" outlineLevel="1"/>
    <col min="15" max="15" width="16.140625" style="6" customWidth="1"/>
    <col min="16" max="16" width="13.85546875" style="6" customWidth="1"/>
    <col min="17" max="20" width="8.85546875" style="6" hidden="1" customWidth="1" outlineLevel="1"/>
    <col min="21" max="21" width="16.140625" style="6" customWidth="1" collapsed="1"/>
    <col min="22" max="22" width="13.85546875" style="6" customWidth="1"/>
    <col min="23" max="26" width="8.85546875" style="6" hidden="1" customWidth="1" outlineLevel="1"/>
    <col min="27" max="27" width="16.140625" style="6" customWidth="1" collapsed="1"/>
    <col min="28" max="28" width="13.85546875" style="6" customWidth="1"/>
    <col min="29" max="32" width="8.85546875" style="6" hidden="1" customWidth="1" outlineLevel="1"/>
    <col min="33" max="33" width="16.140625" style="6" customWidth="1" collapsed="1"/>
    <col min="34" max="34" width="13.85546875" style="6" customWidth="1"/>
    <col min="35" max="38" width="8.85546875" style="6" hidden="1" customWidth="1" outlineLevel="1"/>
    <col min="39" max="39" width="16.140625" style="6" customWidth="1" collapsed="1"/>
    <col min="40" max="40" width="13.85546875" style="6" customWidth="1"/>
    <col min="41" max="44" width="8.85546875" style="6" hidden="1" customWidth="1" outlineLevel="1"/>
    <col min="45" max="45" width="16.140625" style="6" customWidth="1" collapsed="1"/>
    <col min="46" max="46" width="13.85546875" style="6" customWidth="1"/>
    <col min="47" max="50" width="8.85546875" style="6" hidden="1" customWidth="1" outlineLevel="1"/>
    <col min="51" max="51" width="16.140625" style="6" bestFit="1" customWidth="1" collapsed="1"/>
    <col min="52" max="52" width="16.85546875" style="6" bestFit="1" customWidth="1"/>
    <col min="53" max="53" width="10.42578125" style="6" customWidth="1"/>
    <col min="54" max="16384" width="8.85546875" style="6"/>
  </cols>
  <sheetData>
    <row r="1" spans="1:53" ht="18">
      <c r="A1" s="4"/>
      <c r="B1" s="4"/>
      <c r="C1" s="4"/>
      <c r="D1" s="5"/>
      <c r="E1" s="262"/>
      <c r="F1" s="262"/>
      <c r="I1" s="4"/>
      <c r="J1" s="5"/>
      <c r="K1" s="262"/>
      <c r="L1" s="262"/>
    </row>
    <row r="2" spans="1:53" s="7" customFormat="1" ht="25.5" customHeight="1">
      <c r="B2" s="251" t="s">
        <v>61</v>
      </c>
      <c r="C2" s="251"/>
      <c r="D2" s="251"/>
      <c r="E2" s="251"/>
      <c r="F2" s="251"/>
      <c r="G2" s="251"/>
      <c r="H2" s="251"/>
      <c r="I2" s="251"/>
      <c r="J2" s="251"/>
      <c r="K2" s="251"/>
      <c r="L2" s="251"/>
    </row>
    <row r="4" spans="1:53" ht="15" thickBot="1"/>
    <row r="5" spans="1:53" ht="15.75" thickBot="1">
      <c r="A5" s="266" t="s">
        <v>62</v>
      </c>
      <c r="B5" s="267"/>
      <c r="C5" s="263" t="s">
        <v>63</v>
      </c>
      <c r="D5" s="265"/>
      <c r="E5" s="265"/>
      <c r="F5" s="265"/>
      <c r="G5" s="265"/>
      <c r="H5" s="264"/>
      <c r="I5" s="263" t="s">
        <v>64</v>
      </c>
      <c r="J5" s="265"/>
      <c r="K5" s="265"/>
      <c r="L5" s="265"/>
      <c r="M5" s="265"/>
      <c r="N5" s="264"/>
      <c r="O5" s="263" t="s">
        <v>65</v>
      </c>
      <c r="P5" s="265"/>
      <c r="Q5" s="265"/>
      <c r="R5" s="265"/>
      <c r="S5" s="265"/>
      <c r="T5" s="264"/>
      <c r="U5" s="263" t="s">
        <v>66</v>
      </c>
      <c r="V5" s="265"/>
      <c r="W5" s="265"/>
      <c r="X5" s="265"/>
      <c r="Y5" s="265"/>
      <c r="Z5" s="264"/>
      <c r="AA5" s="263" t="s">
        <v>67</v>
      </c>
      <c r="AB5" s="265"/>
      <c r="AC5" s="265"/>
      <c r="AD5" s="265"/>
      <c r="AE5" s="265"/>
      <c r="AF5" s="264"/>
      <c r="AG5" s="263" t="s">
        <v>68</v>
      </c>
      <c r="AH5" s="265"/>
      <c r="AI5" s="265"/>
      <c r="AJ5" s="265"/>
      <c r="AK5" s="265"/>
      <c r="AL5" s="264"/>
      <c r="AM5" s="263" t="s">
        <v>69</v>
      </c>
      <c r="AN5" s="265"/>
      <c r="AO5" s="265"/>
      <c r="AP5" s="265"/>
      <c r="AQ5" s="265"/>
      <c r="AR5" s="264"/>
      <c r="AS5" s="263" t="s">
        <v>70</v>
      </c>
      <c r="AT5" s="265"/>
      <c r="AU5" s="265"/>
      <c r="AV5" s="265"/>
      <c r="AW5" s="265"/>
      <c r="AX5" s="264"/>
      <c r="AY5" s="263" t="s">
        <v>71</v>
      </c>
      <c r="AZ5" s="264"/>
    </row>
    <row r="6" spans="1:53" ht="47.45" customHeight="1" thickBot="1">
      <c r="A6" s="72" t="s">
        <v>72</v>
      </c>
      <c r="B6" s="73" t="s">
        <v>73</v>
      </c>
      <c r="C6" s="25" t="s">
        <v>74</v>
      </c>
      <c r="D6" s="25" t="s">
        <v>75</v>
      </c>
      <c r="E6" s="25" t="s">
        <v>76</v>
      </c>
      <c r="F6" s="25" t="s">
        <v>77</v>
      </c>
      <c r="G6" s="25" t="s">
        <v>78</v>
      </c>
      <c r="H6" s="25" t="s">
        <v>79</v>
      </c>
      <c r="I6" s="25" t="s">
        <v>80</v>
      </c>
      <c r="J6" s="25" t="s">
        <v>81</v>
      </c>
      <c r="K6" s="25" t="s">
        <v>82</v>
      </c>
      <c r="L6" s="25" t="s">
        <v>83</v>
      </c>
      <c r="M6" s="25" t="s">
        <v>78</v>
      </c>
      <c r="N6" s="25" t="s">
        <v>79</v>
      </c>
      <c r="O6" s="25" t="s">
        <v>80</v>
      </c>
      <c r="P6" s="25" t="s">
        <v>81</v>
      </c>
      <c r="Q6" s="25" t="s">
        <v>82</v>
      </c>
      <c r="R6" s="25" t="s">
        <v>83</v>
      </c>
      <c r="S6" s="25" t="s">
        <v>78</v>
      </c>
      <c r="T6" s="25" t="s">
        <v>79</v>
      </c>
      <c r="U6" s="25" t="s">
        <v>80</v>
      </c>
      <c r="V6" s="25" t="s">
        <v>81</v>
      </c>
      <c r="W6" s="25" t="s">
        <v>82</v>
      </c>
      <c r="X6" s="25" t="s">
        <v>83</v>
      </c>
      <c r="Y6" s="25" t="s">
        <v>78</v>
      </c>
      <c r="Z6" s="25" t="s">
        <v>79</v>
      </c>
      <c r="AA6" s="25" t="s">
        <v>80</v>
      </c>
      <c r="AB6" s="25" t="s">
        <v>81</v>
      </c>
      <c r="AC6" s="25" t="s">
        <v>82</v>
      </c>
      <c r="AD6" s="25" t="s">
        <v>83</v>
      </c>
      <c r="AE6" s="25" t="s">
        <v>78</v>
      </c>
      <c r="AF6" s="25" t="s">
        <v>79</v>
      </c>
      <c r="AG6" s="25" t="s">
        <v>80</v>
      </c>
      <c r="AH6" s="25" t="s">
        <v>81</v>
      </c>
      <c r="AI6" s="25" t="s">
        <v>82</v>
      </c>
      <c r="AJ6" s="25" t="s">
        <v>83</v>
      </c>
      <c r="AK6" s="25" t="s">
        <v>78</v>
      </c>
      <c r="AL6" s="25" t="s">
        <v>79</v>
      </c>
      <c r="AM6" s="25" t="s">
        <v>84</v>
      </c>
      <c r="AN6" s="25" t="s">
        <v>85</v>
      </c>
      <c r="AO6" s="25" t="s">
        <v>82</v>
      </c>
      <c r="AP6" s="25" t="s">
        <v>83</v>
      </c>
      <c r="AQ6" s="25" t="s">
        <v>78</v>
      </c>
      <c r="AR6" s="25" t="s">
        <v>79</v>
      </c>
      <c r="AS6" s="25" t="s">
        <v>84</v>
      </c>
      <c r="AT6" s="25" t="s">
        <v>85</v>
      </c>
      <c r="AU6" s="25" t="s">
        <v>82</v>
      </c>
      <c r="AV6" s="25" t="s">
        <v>83</v>
      </c>
      <c r="AW6" s="25" t="s">
        <v>78</v>
      </c>
      <c r="AX6" s="25" t="s">
        <v>79</v>
      </c>
      <c r="AY6" s="26" t="s">
        <v>86</v>
      </c>
      <c r="AZ6" s="50" t="s">
        <v>87</v>
      </c>
      <c r="BA6" s="54" t="s">
        <v>76</v>
      </c>
    </row>
    <row r="7" spans="1:53">
      <c r="A7" s="44" t="s">
        <v>88</v>
      </c>
      <c r="B7" s="45" t="s">
        <v>13</v>
      </c>
      <c r="C7" s="36"/>
      <c r="D7" s="30"/>
      <c r="E7" s="8">
        <f t="shared" ref="E7:E14" si="0">D7-C7</f>
        <v>0</v>
      </c>
      <c r="F7" s="9">
        <f>IF(AND(C7=0,D7=0),0,IFERROR(E7/C7,"Variance"))</f>
        <v>0</v>
      </c>
      <c r="G7" s="8">
        <f>E7</f>
        <v>0</v>
      </c>
      <c r="H7" s="10">
        <f>IFERROR(G7/(C7),0)</f>
        <v>0</v>
      </c>
      <c r="I7" s="36"/>
      <c r="J7" s="30"/>
      <c r="K7" s="8">
        <f t="shared" ref="K7:K14" si="1">J7-I7</f>
        <v>0</v>
      </c>
      <c r="L7" s="9">
        <f>IF(AND(I7=0,J7=0),0,IFERROR(K7/I7,"Variance"))</f>
        <v>0</v>
      </c>
      <c r="M7" s="8">
        <f>K7+G7</f>
        <v>0</v>
      </c>
      <c r="N7" s="10">
        <f>IFERROR(M7/(C7+I7),0)</f>
        <v>0</v>
      </c>
      <c r="O7" s="39"/>
      <c r="P7" s="33"/>
      <c r="Q7" s="8">
        <f t="shared" ref="Q7:Q14" si="2">P7-O7</f>
        <v>0</v>
      </c>
      <c r="R7" s="9">
        <f>IF(AND(O7=0,P7=0),0,IFERROR(Q7/O7,"Variance"))</f>
        <v>0</v>
      </c>
      <c r="S7" s="8">
        <f>M7+Q7</f>
        <v>0</v>
      </c>
      <c r="T7" s="10">
        <f>IFERROR(S7/(C7+I7+O7),0)</f>
        <v>0</v>
      </c>
      <c r="U7" s="39"/>
      <c r="V7" s="33"/>
      <c r="W7" s="8">
        <f t="shared" ref="W7:W14" si="3">V7-U7</f>
        <v>0</v>
      </c>
      <c r="X7" s="9">
        <f>IF(AND(U7=0,V7=0),0,IFERROR(W7/U7,"Variance"))</f>
        <v>0</v>
      </c>
      <c r="Y7" s="8">
        <f t="shared" ref="Y7:Y14" si="4">S7+W7</f>
        <v>0</v>
      </c>
      <c r="Z7" s="10">
        <f>IFERROR(Y7/(C7+I7+O7+U7),0)</f>
        <v>0</v>
      </c>
      <c r="AA7" s="39"/>
      <c r="AB7" s="33"/>
      <c r="AC7" s="8">
        <f t="shared" ref="AC7:AC14" si="5">AB7-AA7</f>
        <v>0</v>
      </c>
      <c r="AD7" s="9">
        <f>IF(AND(AA7=0,AB7=0),0,IFERROR(AC7/AA7,"Variance"))</f>
        <v>0</v>
      </c>
      <c r="AE7" s="8">
        <f t="shared" ref="AE7:AE14" si="6">Y7+AC7</f>
        <v>0</v>
      </c>
      <c r="AF7" s="10">
        <f>IFERROR(AE7/(C7+I7+O7+U7+AA7),0)</f>
        <v>0</v>
      </c>
      <c r="AG7" s="39"/>
      <c r="AH7" s="33"/>
      <c r="AI7" s="8">
        <f t="shared" ref="AI7:AI14" si="7">AH7-AG7</f>
        <v>0</v>
      </c>
      <c r="AJ7" s="9">
        <f>IF(AND(AG7=0,AH7=0),0,IFERROR(AI7/AG7,"Variance"))</f>
        <v>0</v>
      </c>
      <c r="AK7" s="8">
        <f>AE7+AI7</f>
        <v>0</v>
      </c>
      <c r="AL7" s="10">
        <f>IFERROR(AK7/(C7+I7+O7+U7+AA7+AG7),0)</f>
        <v>0</v>
      </c>
      <c r="AM7" s="39"/>
      <c r="AN7" s="33"/>
      <c r="AO7" s="8">
        <f t="shared" ref="AO7:AO14" si="8">AN7-AM7</f>
        <v>0</v>
      </c>
      <c r="AP7" s="9">
        <f>IF(AND(AM7=0,AN7=0),0,IFERROR(AO7/AM7,"Variance"))</f>
        <v>0</v>
      </c>
      <c r="AQ7" s="8">
        <f>AK7+AO7</f>
        <v>0</v>
      </c>
      <c r="AR7" s="10">
        <f>IFERROR(AQ7/(C7+I7+O7+U7+AA7+AG7+AM7),0)</f>
        <v>0</v>
      </c>
      <c r="AS7" s="39"/>
      <c r="AT7" s="33"/>
      <c r="AU7" s="8">
        <f t="shared" ref="AU7:AU14" si="9">AT7-AS7</f>
        <v>0</v>
      </c>
      <c r="AV7" s="9">
        <f>IF(AND(AS7=0,AT7=0),0,IFERROR(AU7/AS7,"Variance"))</f>
        <v>0</v>
      </c>
      <c r="AW7" s="8">
        <f>AQ7+AU7</f>
        <v>0</v>
      </c>
      <c r="AX7" s="10">
        <f>IFERROR(AW7/(C7+I7+O7+U7+AA7+AG7+AM7+AS7),0)</f>
        <v>0</v>
      </c>
      <c r="AY7" s="27">
        <f>C7+I7+O7+U7+AA7+AG7+AM7+AS7</f>
        <v>0</v>
      </c>
      <c r="AZ7" s="51">
        <f>D7+J7+P7+V7+AB7+AH7+AN7+AT7</f>
        <v>0</v>
      </c>
      <c r="BA7" s="53">
        <f>AZ7-AY7</f>
        <v>0</v>
      </c>
    </row>
    <row r="8" spans="1:53" ht="21" customHeight="1">
      <c r="A8" s="42" t="s">
        <v>88</v>
      </c>
      <c r="B8" s="43" t="s">
        <v>14</v>
      </c>
      <c r="C8" s="37"/>
      <c r="D8" s="31"/>
      <c r="E8" s="11">
        <f t="shared" si="0"/>
        <v>0</v>
      </c>
      <c r="F8" s="12">
        <f t="shared" ref="F8:F14" si="10">IF(AND(C8=0,D8=0),0,IFERROR(E8/C8,"Variance"))</f>
        <v>0</v>
      </c>
      <c r="G8" s="11">
        <f t="shared" ref="G8" si="11">E8</f>
        <v>0</v>
      </c>
      <c r="H8" s="13">
        <f t="shared" ref="H8:H25" si="12">IFERROR(G8/(C8),0)</f>
        <v>0</v>
      </c>
      <c r="I8" s="37"/>
      <c r="J8" s="31"/>
      <c r="K8" s="11">
        <f t="shared" si="1"/>
        <v>0</v>
      </c>
      <c r="L8" s="12">
        <f t="shared" ref="L8:L14" si="13">IF(AND(I8=0,J8=0),0,IFERROR(K8/I8,"Variance"))</f>
        <v>0</v>
      </c>
      <c r="M8" s="11">
        <f t="shared" ref="M8:M24" si="14">K8+G8</f>
        <v>0</v>
      </c>
      <c r="N8" s="13">
        <f t="shared" ref="N8:N27" si="15">IFERROR(M8/(C8+I8),0)</f>
        <v>0</v>
      </c>
      <c r="O8" s="40"/>
      <c r="P8" s="34"/>
      <c r="Q8" s="11">
        <f t="shared" si="2"/>
        <v>0</v>
      </c>
      <c r="R8" s="12">
        <f t="shared" ref="R8:R14" si="16">IF(AND(O8=0,P8=0),0,IFERROR(Q8/O8,"Variance"))</f>
        <v>0</v>
      </c>
      <c r="S8" s="11">
        <f t="shared" ref="S8:S14" si="17">M8+Q8</f>
        <v>0</v>
      </c>
      <c r="T8" s="13">
        <f t="shared" ref="T8:T27" si="18">IFERROR(S8/(C8+I8+O8),0)</f>
        <v>0</v>
      </c>
      <c r="U8" s="40"/>
      <c r="V8" s="34"/>
      <c r="W8" s="11">
        <f t="shared" si="3"/>
        <v>0</v>
      </c>
      <c r="X8" s="12">
        <f t="shared" ref="X8:X14" si="19">IF(AND(U8=0,V8=0),0,IFERROR(W8/U8,"Variance"))</f>
        <v>0</v>
      </c>
      <c r="Y8" s="11">
        <f t="shared" si="4"/>
        <v>0</v>
      </c>
      <c r="Z8" s="13">
        <f t="shared" ref="Z8:Z27" si="20">IFERROR(Y8/(C8+I8+O8+U8),0)</f>
        <v>0</v>
      </c>
      <c r="AA8" s="40"/>
      <c r="AB8" s="34"/>
      <c r="AC8" s="11">
        <f t="shared" si="5"/>
        <v>0</v>
      </c>
      <c r="AD8" s="12">
        <f t="shared" ref="AD8:AD14" si="21">IF(AND(AA8=0,AB8=0),0,IFERROR(AC8/AA8,"Variance"))</f>
        <v>0</v>
      </c>
      <c r="AE8" s="11">
        <f t="shared" si="6"/>
        <v>0</v>
      </c>
      <c r="AF8" s="13">
        <f t="shared" ref="AF8:AF27" si="22">IFERROR(AE8/(C8+I8+O8+U8+AA8),0)</f>
        <v>0</v>
      </c>
      <c r="AG8" s="40"/>
      <c r="AH8" s="34"/>
      <c r="AI8" s="11">
        <f t="shared" si="7"/>
        <v>0</v>
      </c>
      <c r="AJ8" s="12">
        <f t="shared" ref="AJ8:AJ14" si="23">IF(AND(AG8=0,AH8=0),0,IFERROR(AI8/AG8,"Variance"))</f>
        <v>0</v>
      </c>
      <c r="AK8" s="11">
        <f t="shared" ref="AK8:AK14" si="24">AE8+AI8</f>
        <v>0</v>
      </c>
      <c r="AL8" s="13">
        <f t="shared" ref="AL8:AL27" si="25">IFERROR(AK8/(C8+I8+O8+U8+AA8+AG8),0)</f>
        <v>0</v>
      </c>
      <c r="AM8" s="40"/>
      <c r="AN8" s="34"/>
      <c r="AO8" s="11">
        <f t="shared" si="8"/>
        <v>0</v>
      </c>
      <c r="AP8" s="12">
        <f t="shared" ref="AP8:AP14" si="26">IF(AND(AM8=0,AN8=0),0,IFERROR(AO8/AM8,"Variance"))</f>
        <v>0</v>
      </c>
      <c r="AQ8" s="11">
        <f t="shared" ref="AQ8:AQ14" si="27">AK8+AO8</f>
        <v>0</v>
      </c>
      <c r="AR8" s="13">
        <f t="shared" ref="AR8:AR27" si="28">IFERROR(AQ8/(C8+I8+O8+U8+AA8+AG8+AM8),0)</f>
        <v>0</v>
      </c>
      <c r="AS8" s="40"/>
      <c r="AT8" s="34"/>
      <c r="AU8" s="11">
        <f t="shared" si="9"/>
        <v>0</v>
      </c>
      <c r="AV8" s="12">
        <f t="shared" ref="AV8:AV14" si="29">IF(AND(AS8=0,AT8=0),0,IFERROR(AU8/AS8,"Variance"))</f>
        <v>0</v>
      </c>
      <c r="AW8" s="11">
        <f t="shared" ref="AW8:AW14" si="30">AQ8+AU8</f>
        <v>0</v>
      </c>
      <c r="AX8" s="13">
        <f t="shared" ref="AX8:AX27" si="31">IFERROR(AW8/(C8+I8+O8+U8+AA8+AG8+AM8+AS8),0)</f>
        <v>0</v>
      </c>
      <c r="AY8" s="27">
        <f t="shared" ref="AY8:AY24" si="32">C8+I8+O8+U8+AA8+AG8+AM8+AS8</f>
        <v>0</v>
      </c>
      <c r="AZ8" s="51">
        <f t="shared" ref="AZ8:AZ24" si="33">D8+J8+P8+V8+AB8+AH8+AN8+AT8</f>
        <v>0</v>
      </c>
      <c r="BA8" s="53">
        <f t="shared" ref="BA8:BA14" si="34">AZ8-AY8</f>
        <v>0</v>
      </c>
    </row>
    <row r="9" spans="1:53" ht="21" customHeight="1">
      <c r="A9" s="42" t="s">
        <v>88</v>
      </c>
      <c r="B9" s="43" t="s">
        <v>15</v>
      </c>
      <c r="C9" s="37"/>
      <c r="D9" s="31"/>
      <c r="E9" s="11">
        <f t="shared" si="0"/>
        <v>0</v>
      </c>
      <c r="F9" s="12">
        <f t="shared" si="10"/>
        <v>0</v>
      </c>
      <c r="G9" s="11">
        <f>E9</f>
        <v>0</v>
      </c>
      <c r="H9" s="13">
        <f t="shared" si="12"/>
        <v>0</v>
      </c>
      <c r="I9" s="37"/>
      <c r="J9" s="31"/>
      <c r="K9" s="11">
        <f t="shared" si="1"/>
        <v>0</v>
      </c>
      <c r="L9" s="12">
        <f t="shared" si="13"/>
        <v>0</v>
      </c>
      <c r="M9" s="11">
        <f t="shared" si="14"/>
        <v>0</v>
      </c>
      <c r="N9" s="13">
        <f t="shared" si="15"/>
        <v>0</v>
      </c>
      <c r="O9" s="40"/>
      <c r="P9" s="34"/>
      <c r="Q9" s="11">
        <f t="shared" si="2"/>
        <v>0</v>
      </c>
      <c r="R9" s="12">
        <f t="shared" si="16"/>
        <v>0</v>
      </c>
      <c r="S9" s="11">
        <f t="shared" si="17"/>
        <v>0</v>
      </c>
      <c r="T9" s="13">
        <f t="shared" si="18"/>
        <v>0</v>
      </c>
      <c r="U9" s="40"/>
      <c r="V9" s="34"/>
      <c r="W9" s="11">
        <f t="shared" si="3"/>
        <v>0</v>
      </c>
      <c r="X9" s="12">
        <f t="shared" si="19"/>
        <v>0</v>
      </c>
      <c r="Y9" s="11">
        <f t="shared" si="4"/>
        <v>0</v>
      </c>
      <c r="Z9" s="13">
        <f t="shared" si="20"/>
        <v>0</v>
      </c>
      <c r="AA9" s="40"/>
      <c r="AB9" s="34"/>
      <c r="AC9" s="11">
        <f t="shared" si="5"/>
        <v>0</v>
      </c>
      <c r="AD9" s="12">
        <f t="shared" si="21"/>
        <v>0</v>
      </c>
      <c r="AE9" s="11">
        <f t="shared" si="6"/>
        <v>0</v>
      </c>
      <c r="AF9" s="13">
        <f t="shared" si="22"/>
        <v>0</v>
      </c>
      <c r="AG9" s="40"/>
      <c r="AH9" s="34"/>
      <c r="AI9" s="11">
        <f t="shared" si="7"/>
        <v>0</v>
      </c>
      <c r="AJ9" s="12">
        <f t="shared" si="23"/>
        <v>0</v>
      </c>
      <c r="AK9" s="11">
        <f t="shared" si="24"/>
        <v>0</v>
      </c>
      <c r="AL9" s="13">
        <f t="shared" si="25"/>
        <v>0</v>
      </c>
      <c r="AM9" s="40"/>
      <c r="AN9" s="34"/>
      <c r="AO9" s="11">
        <f t="shared" si="8"/>
        <v>0</v>
      </c>
      <c r="AP9" s="12">
        <f t="shared" si="26"/>
        <v>0</v>
      </c>
      <c r="AQ9" s="11">
        <f t="shared" si="27"/>
        <v>0</v>
      </c>
      <c r="AR9" s="13">
        <f t="shared" si="28"/>
        <v>0</v>
      </c>
      <c r="AS9" s="40"/>
      <c r="AT9" s="34"/>
      <c r="AU9" s="11">
        <f t="shared" si="9"/>
        <v>0</v>
      </c>
      <c r="AV9" s="12">
        <f t="shared" si="29"/>
        <v>0</v>
      </c>
      <c r="AW9" s="11">
        <f t="shared" si="30"/>
        <v>0</v>
      </c>
      <c r="AX9" s="13">
        <f t="shared" si="31"/>
        <v>0</v>
      </c>
      <c r="AY9" s="27">
        <f t="shared" si="32"/>
        <v>0</v>
      </c>
      <c r="AZ9" s="51">
        <f t="shared" si="33"/>
        <v>0</v>
      </c>
      <c r="BA9" s="53">
        <f t="shared" si="34"/>
        <v>0</v>
      </c>
    </row>
    <row r="10" spans="1:53">
      <c r="A10" s="42" t="s">
        <v>88</v>
      </c>
      <c r="B10" s="43" t="s">
        <v>16</v>
      </c>
      <c r="C10" s="37"/>
      <c r="D10" s="31"/>
      <c r="E10" s="11">
        <f t="shared" si="0"/>
        <v>0</v>
      </c>
      <c r="F10" s="12">
        <f t="shared" si="10"/>
        <v>0</v>
      </c>
      <c r="G10" s="11">
        <f t="shared" ref="G10:G14" si="35">E10</f>
        <v>0</v>
      </c>
      <c r="H10" s="13">
        <f t="shared" si="12"/>
        <v>0</v>
      </c>
      <c r="I10" s="37"/>
      <c r="J10" s="31"/>
      <c r="K10" s="11">
        <f t="shared" si="1"/>
        <v>0</v>
      </c>
      <c r="L10" s="12">
        <f t="shared" si="13"/>
        <v>0</v>
      </c>
      <c r="M10" s="11">
        <f t="shared" si="14"/>
        <v>0</v>
      </c>
      <c r="N10" s="13">
        <f t="shared" si="15"/>
        <v>0</v>
      </c>
      <c r="O10" s="40"/>
      <c r="P10" s="34"/>
      <c r="Q10" s="11">
        <f t="shared" si="2"/>
        <v>0</v>
      </c>
      <c r="R10" s="12">
        <f t="shared" si="16"/>
        <v>0</v>
      </c>
      <c r="S10" s="11">
        <f t="shared" si="17"/>
        <v>0</v>
      </c>
      <c r="T10" s="13">
        <f t="shared" si="18"/>
        <v>0</v>
      </c>
      <c r="U10" s="40"/>
      <c r="V10" s="34"/>
      <c r="W10" s="11">
        <f t="shared" si="3"/>
        <v>0</v>
      </c>
      <c r="X10" s="12">
        <f t="shared" si="19"/>
        <v>0</v>
      </c>
      <c r="Y10" s="11">
        <f t="shared" si="4"/>
        <v>0</v>
      </c>
      <c r="Z10" s="13">
        <f t="shared" si="20"/>
        <v>0</v>
      </c>
      <c r="AA10" s="40"/>
      <c r="AB10" s="34"/>
      <c r="AC10" s="11">
        <f t="shared" si="5"/>
        <v>0</v>
      </c>
      <c r="AD10" s="12">
        <f t="shared" si="21"/>
        <v>0</v>
      </c>
      <c r="AE10" s="11">
        <f t="shared" si="6"/>
        <v>0</v>
      </c>
      <c r="AF10" s="13">
        <f t="shared" si="22"/>
        <v>0</v>
      </c>
      <c r="AG10" s="40"/>
      <c r="AH10" s="34"/>
      <c r="AI10" s="11">
        <f t="shared" si="7"/>
        <v>0</v>
      </c>
      <c r="AJ10" s="12">
        <f t="shared" si="23"/>
        <v>0</v>
      </c>
      <c r="AK10" s="11">
        <f t="shared" si="24"/>
        <v>0</v>
      </c>
      <c r="AL10" s="13">
        <f t="shared" si="25"/>
        <v>0</v>
      </c>
      <c r="AM10" s="40"/>
      <c r="AN10" s="34"/>
      <c r="AO10" s="11">
        <f t="shared" si="8"/>
        <v>0</v>
      </c>
      <c r="AP10" s="12">
        <f t="shared" si="26"/>
        <v>0</v>
      </c>
      <c r="AQ10" s="11">
        <f t="shared" si="27"/>
        <v>0</v>
      </c>
      <c r="AR10" s="13">
        <f t="shared" si="28"/>
        <v>0</v>
      </c>
      <c r="AS10" s="40"/>
      <c r="AT10" s="34"/>
      <c r="AU10" s="11">
        <f t="shared" si="9"/>
        <v>0</v>
      </c>
      <c r="AV10" s="12">
        <f t="shared" si="29"/>
        <v>0</v>
      </c>
      <c r="AW10" s="11">
        <f t="shared" si="30"/>
        <v>0</v>
      </c>
      <c r="AX10" s="13">
        <f t="shared" si="31"/>
        <v>0</v>
      </c>
      <c r="AY10" s="27">
        <f t="shared" si="32"/>
        <v>0</v>
      </c>
      <c r="AZ10" s="51">
        <f t="shared" si="33"/>
        <v>0</v>
      </c>
      <c r="BA10" s="53">
        <f t="shared" si="34"/>
        <v>0</v>
      </c>
    </row>
    <row r="11" spans="1:53">
      <c r="A11" s="42" t="s">
        <v>88</v>
      </c>
      <c r="B11" s="43" t="s">
        <v>17</v>
      </c>
      <c r="C11" s="37"/>
      <c r="D11" s="31"/>
      <c r="E11" s="11">
        <f t="shared" si="0"/>
        <v>0</v>
      </c>
      <c r="F11" s="12">
        <f t="shared" si="10"/>
        <v>0</v>
      </c>
      <c r="G11" s="11">
        <f t="shared" si="35"/>
        <v>0</v>
      </c>
      <c r="H11" s="13">
        <f t="shared" si="12"/>
        <v>0</v>
      </c>
      <c r="I11" s="37"/>
      <c r="J11" s="31"/>
      <c r="K11" s="11">
        <f t="shared" si="1"/>
        <v>0</v>
      </c>
      <c r="L11" s="12">
        <f t="shared" si="13"/>
        <v>0</v>
      </c>
      <c r="M11" s="11">
        <f t="shared" si="14"/>
        <v>0</v>
      </c>
      <c r="N11" s="13">
        <f t="shared" si="15"/>
        <v>0</v>
      </c>
      <c r="O11" s="40"/>
      <c r="P11" s="34"/>
      <c r="Q11" s="11">
        <f t="shared" si="2"/>
        <v>0</v>
      </c>
      <c r="R11" s="12">
        <f t="shared" si="16"/>
        <v>0</v>
      </c>
      <c r="S11" s="11">
        <f t="shared" si="17"/>
        <v>0</v>
      </c>
      <c r="T11" s="13">
        <f t="shared" si="18"/>
        <v>0</v>
      </c>
      <c r="U11" s="40"/>
      <c r="V11" s="34"/>
      <c r="W11" s="11">
        <f t="shared" si="3"/>
        <v>0</v>
      </c>
      <c r="X11" s="12">
        <f t="shared" si="19"/>
        <v>0</v>
      </c>
      <c r="Y11" s="11">
        <f t="shared" si="4"/>
        <v>0</v>
      </c>
      <c r="Z11" s="13">
        <f t="shared" si="20"/>
        <v>0</v>
      </c>
      <c r="AA11" s="40"/>
      <c r="AB11" s="34"/>
      <c r="AC11" s="11">
        <f t="shared" si="5"/>
        <v>0</v>
      </c>
      <c r="AD11" s="12">
        <f t="shared" si="21"/>
        <v>0</v>
      </c>
      <c r="AE11" s="11">
        <f t="shared" si="6"/>
        <v>0</v>
      </c>
      <c r="AF11" s="13">
        <f t="shared" si="22"/>
        <v>0</v>
      </c>
      <c r="AG11" s="40"/>
      <c r="AH11" s="34"/>
      <c r="AI11" s="11">
        <f t="shared" si="7"/>
        <v>0</v>
      </c>
      <c r="AJ11" s="12">
        <f t="shared" si="23"/>
        <v>0</v>
      </c>
      <c r="AK11" s="11">
        <f t="shared" si="24"/>
        <v>0</v>
      </c>
      <c r="AL11" s="13">
        <f t="shared" si="25"/>
        <v>0</v>
      </c>
      <c r="AM11" s="40"/>
      <c r="AN11" s="34"/>
      <c r="AO11" s="11">
        <f t="shared" si="8"/>
        <v>0</v>
      </c>
      <c r="AP11" s="12">
        <f t="shared" si="26"/>
        <v>0</v>
      </c>
      <c r="AQ11" s="11">
        <f t="shared" si="27"/>
        <v>0</v>
      </c>
      <c r="AR11" s="13">
        <f t="shared" si="28"/>
        <v>0</v>
      </c>
      <c r="AS11" s="40"/>
      <c r="AT11" s="34"/>
      <c r="AU11" s="11">
        <f t="shared" si="9"/>
        <v>0</v>
      </c>
      <c r="AV11" s="12">
        <f t="shared" si="29"/>
        <v>0</v>
      </c>
      <c r="AW11" s="11">
        <f t="shared" si="30"/>
        <v>0</v>
      </c>
      <c r="AX11" s="13">
        <f t="shared" si="31"/>
        <v>0</v>
      </c>
      <c r="AY11" s="27">
        <f t="shared" si="32"/>
        <v>0</v>
      </c>
      <c r="AZ11" s="51">
        <f t="shared" si="33"/>
        <v>0</v>
      </c>
      <c r="BA11" s="53">
        <f t="shared" si="34"/>
        <v>0</v>
      </c>
    </row>
    <row r="12" spans="1:53">
      <c r="A12" s="42" t="s">
        <v>88</v>
      </c>
      <c r="B12" s="43" t="s">
        <v>89</v>
      </c>
      <c r="C12" s="37"/>
      <c r="D12" s="31"/>
      <c r="E12" s="11">
        <f t="shared" si="0"/>
        <v>0</v>
      </c>
      <c r="F12" s="12">
        <f t="shared" si="10"/>
        <v>0</v>
      </c>
      <c r="G12" s="11">
        <f t="shared" si="35"/>
        <v>0</v>
      </c>
      <c r="H12" s="13">
        <f t="shared" si="12"/>
        <v>0</v>
      </c>
      <c r="I12" s="37"/>
      <c r="J12" s="31"/>
      <c r="K12" s="11">
        <f t="shared" si="1"/>
        <v>0</v>
      </c>
      <c r="L12" s="12">
        <f t="shared" si="13"/>
        <v>0</v>
      </c>
      <c r="M12" s="11">
        <f t="shared" si="14"/>
        <v>0</v>
      </c>
      <c r="N12" s="13">
        <f t="shared" si="15"/>
        <v>0</v>
      </c>
      <c r="O12" s="40"/>
      <c r="P12" s="34"/>
      <c r="Q12" s="11">
        <f t="shared" si="2"/>
        <v>0</v>
      </c>
      <c r="R12" s="12">
        <f t="shared" si="16"/>
        <v>0</v>
      </c>
      <c r="S12" s="11">
        <f t="shared" si="17"/>
        <v>0</v>
      </c>
      <c r="T12" s="13">
        <f t="shared" si="18"/>
        <v>0</v>
      </c>
      <c r="U12" s="40"/>
      <c r="V12" s="34"/>
      <c r="W12" s="11">
        <f t="shared" si="3"/>
        <v>0</v>
      </c>
      <c r="X12" s="12">
        <f t="shared" si="19"/>
        <v>0</v>
      </c>
      <c r="Y12" s="11">
        <f t="shared" si="4"/>
        <v>0</v>
      </c>
      <c r="Z12" s="13">
        <f t="shared" si="20"/>
        <v>0</v>
      </c>
      <c r="AA12" s="40"/>
      <c r="AB12" s="34"/>
      <c r="AC12" s="11">
        <f t="shared" si="5"/>
        <v>0</v>
      </c>
      <c r="AD12" s="12">
        <f t="shared" si="21"/>
        <v>0</v>
      </c>
      <c r="AE12" s="11">
        <f t="shared" si="6"/>
        <v>0</v>
      </c>
      <c r="AF12" s="13">
        <f t="shared" si="22"/>
        <v>0</v>
      </c>
      <c r="AG12" s="40"/>
      <c r="AH12" s="34"/>
      <c r="AI12" s="11">
        <f t="shared" si="7"/>
        <v>0</v>
      </c>
      <c r="AJ12" s="12">
        <f t="shared" si="23"/>
        <v>0</v>
      </c>
      <c r="AK12" s="11">
        <f t="shared" si="24"/>
        <v>0</v>
      </c>
      <c r="AL12" s="13">
        <f t="shared" si="25"/>
        <v>0</v>
      </c>
      <c r="AM12" s="40"/>
      <c r="AN12" s="34"/>
      <c r="AO12" s="11">
        <f t="shared" si="8"/>
        <v>0</v>
      </c>
      <c r="AP12" s="12">
        <f t="shared" si="26"/>
        <v>0</v>
      </c>
      <c r="AQ12" s="11">
        <f t="shared" si="27"/>
        <v>0</v>
      </c>
      <c r="AR12" s="13">
        <f t="shared" si="28"/>
        <v>0</v>
      </c>
      <c r="AS12" s="40"/>
      <c r="AT12" s="34"/>
      <c r="AU12" s="11">
        <f t="shared" si="9"/>
        <v>0</v>
      </c>
      <c r="AV12" s="12">
        <f t="shared" si="29"/>
        <v>0</v>
      </c>
      <c r="AW12" s="11">
        <f t="shared" si="30"/>
        <v>0</v>
      </c>
      <c r="AX12" s="13">
        <f t="shared" si="31"/>
        <v>0</v>
      </c>
      <c r="AY12" s="27">
        <f t="shared" si="32"/>
        <v>0</v>
      </c>
      <c r="AZ12" s="51">
        <f t="shared" si="33"/>
        <v>0</v>
      </c>
      <c r="BA12" s="53">
        <f t="shared" si="34"/>
        <v>0</v>
      </c>
    </row>
    <row r="13" spans="1:53">
      <c r="A13" s="42" t="s">
        <v>88</v>
      </c>
      <c r="B13" s="108" t="s">
        <v>19</v>
      </c>
      <c r="C13" s="37"/>
      <c r="D13" s="31"/>
      <c r="E13" s="11">
        <f t="shared" ref="E13" si="36">D13-C13</f>
        <v>0</v>
      </c>
      <c r="F13" s="12">
        <f t="shared" ref="F13" si="37">IF(AND(C13=0,D13=0),0,IFERROR(E13/C13,"Variance"))</f>
        <v>0</v>
      </c>
      <c r="G13" s="11">
        <f t="shared" ref="G13" si="38">E13</f>
        <v>0</v>
      </c>
      <c r="H13" s="13">
        <f t="shared" ref="H13" si="39">IFERROR(G13/(C13),0)</f>
        <v>0</v>
      </c>
      <c r="I13" s="37"/>
      <c r="J13" s="31"/>
      <c r="K13" s="11">
        <f t="shared" ref="K13" si="40">J13-I13</f>
        <v>0</v>
      </c>
      <c r="L13" s="12">
        <f t="shared" ref="L13" si="41">IF(AND(I13=0,J13=0),0,IFERROR(K13/I13,"Variance"))</f>
        <v>0</v>
      </c>
      <c r="M13" s="11">
        <f t="shared" si="14"/>
        <v>0</v>
      </c>
      <c r="N13" s="13">
        <f t="shared" ref="N13" si="42">IFERROR(M13/(C13+I13),0)</f>
        <v>0</v>
      </c>
      <c r="O13" s="40"/>
      <c r="P13" s="34"/>
      <c r="Q13" s="11">
        <f t="shared" ref="Q13" si="43">P13-O13</f>
        <v>0</v>
      </c>
      <c r="R13" s="12">
        <f t="shared" ref="R13" si="44">IF(AND(O13=0,P13=0),0,IFERROR(Q13/O13,"Variance"))</f>
        <v>0</v>
      </c>
      <c r="S13" s="11">
        <f t="shared" ref="S13" si="45">M13+Q13</f>
        <v>0</v>
      </c>
      <c r="T13" s="13">
        <f t="shared" ref="T13" si="46">IFERROR(S13/(C13+I13+O13),0)</f>
        <v>0</v>
      </c>
      <c r="U13" s="40"/>
      <c r="V13" s="34"/>
      <c r="W13" s="11">
        <f t="shared" ref="W13" si="47">V13-U13</f>
        <v>0</v>
      </c>
      <c r="X13" s="12">
        <f t="shared" ref="X13" si="48">IF(AND(U13=0,V13=0),0,IFERROR(W13/U13,"Variance"))</f>
        <v>0</v>
      </c>
      <c r="Y13" s="11">
        <f t="shared" ref="Y13" si="49">S13+W13</f>
        <v>0</v>
      </c>
      <c r="Z13" s="13">
        <f t="shared" ref="Z13" si="50">IFERROR(Y13/(C13+I13+O13+U13),0)</f>
        <v>0</v>
      </c>
      <c r="AA13" s="40"/>
      <c r="AB13" s="34"/>
      <c r="AC13" s="11">
        <f t="shared" ref="AC13" si="51">AB13-AA13</f>
        <v>0</v>
      </c>
      <c r="AD13" s="12">
        <f t="shared" ref="AD13" si="52">IF(AND(AA13=0,AB13=0),0,IFERROR(AC13/AA13,"Variance"))</f>
        <v>0</v>
      </c>
      <c r="AE13" s="11">
        <f t="shared" ref="AE13" si="53">Y13+AC13</f>
        <v>0</v>
      </c>
      <c r="AF13" s="13">
        <f t="shared" ref="AF13" si="54">IFERROR(AE13/(C13+I13+O13+U13+AA13),0)</f>
        <v>0</v>
      </c>
      <c r="AG13" s="40"/>
      <c r="AH13" s="34"/>
      <c r="AI13" s="11">
        <f t="shared" ref="AI13" si="55">AH13-AG13</f>
        <v>0</v>
      </c>
      <c r="AJ13" s="12">
        <f t="shared" ref="AJ13" si="56">IF(AND(AG13=0,AH13=0),0,IFERROR(AI13/AG13,"Variance"))</f>
        <v>0</v>
      </c>
      <c r="AK13" s="11">
        <f t="shared" ref="AK13" si="57">AE13+AI13</f>
        <v>0</v>
      </c>
      <c r="AL13" s="13">
        <f t="shared" ref="AL13" si="58">IFERROR(AK13/(C13+I13+O13+U13+AA13+AG13),0)</f>
        <v>0</v>
      </c>
      <c r="AM13" s="40"/>
      <c r="AN13" s="34"/>
      <c r="AO13" s="11">
        <f t="shared" ref="AO13" si="59">AN13-AM13</f>
        <v>0</v>
      </c>
      <c r="AP13" s="12">
        <f t="shared" ref="AP13" si="60">IF(AND(AM13=0,AN13=0),0,IFERROR(AO13/AM13,"Variance"))</f>
        <v>0</v>
      </c>
      <c r="AQ13" s="11">
        <f t="shared" ref="AQ13" si="61">AK13+AO13</f>
        <v>0</v>
      </c>
      <c r="AR13" s="13">
        <f t="shared" ref="AR13" si="62">IFERROR(AQ13/(C13+I13+O13+U13+AA13+AG13+AM13),0)</f>
        <v>0</v>
      </c>
      <c r="AS13" s="40"/>
      <c r="AT13" s="34"/>
      <c r="AU13" s="11">
        <f t="shared" ref="AU13" si="63">AT13-AS13</f>
        <v>0</v>
      </c>
      <c r="AV13" s="12">
        <f t="shared" ref="AV13" si="64">IF(AND(AS13=0,AT13=0),0,IFERROR(AU13/AS13,"Variance"))</f>
        <v>0</v>
      </c>
      <c r="AW13" s="11">
        <f t="shared" ref="AW13" si="65">AQ13+AU13</f>
        <v>0</v>
      </c>
      <c r="AX13" s="13">
        <f>IFERROR(AW13/(C13+I13+O13+U13+AA13+AG13+AM13+AS13),0)</f>
        <v>0</v>
      </c>
      <c r="AY13" s="27">
        <f t="shared" ref="AY13" si="66">C13+I13+O13+U13+AA13+AG13+AM13+AS13</f>
        <v>0</v>
      </c>
      <c r="AZ13" s="51">
        <f t="shared" ref="AZ13" si="67">D13+J13+P13+V13+AB13+AH13+AN13+AT13</f>
        <v>0</v>
      </c>
      <c r="BA13" s="53">
        <f t="shared" ref="BA13" si="68">AZ13-AY13</f>
        <v>0</v>
      </c>
    </row>
    <row r="14" spans="1:53" ht="15" thickBot="1">
      <c r="A14" s="46" t="s">
        <v>88</v>
      </c>
      <c r="B14" s="47" t="s">
        <v>90</v>
      </c>
      <c r="C14" s="38"/>
      <c r="D14" s="32"/>
      <c r="E14" s="14">
        <f t="shared" si="0"/>
        <v>0</v>
      </c>
      <c r="F14" s="15">
        <f t="shared" si="10"/>
        <v>0</v>
      </c>
      <c r="G14" s="14">
        <f t="shared" si="35"/>
        <v>0</v>
      </c>
      <c r="H14" s="16">
        <f t="shared" si="12"/>
        <v>0</v>
      </c>
      <c r="I14" s="38"/>
      <c r="J14" s="32"/>
      <c r="K14" s="14">
        <f t="shared" si="1"/>
        <v>0</v>
      </c>
      <c r="L14" s="15">
        <f t="shared" si="13"/>
        <v>0</v>
      </c>
      <c r="M14" s="14">
        <f t="shared" si="14"/>
        <v>0</v>
      </c>
      <c r="N14" s="16">
        <f t="shared" si="15"/>
        <v>0</v>
      </c>
      <c r="O14" s="41"/>
      <c r="P14" s="35"/>
      <c r="Q14" s="14">
        <f t="shared" si="2"/>
        <v>0</v>
      </c>
      <c r="R14" s="15">
        <f t="shared" si="16"/>
        <v>0</v>
      </c>
      <c r="S14" s="14">
        <f t="shared" si="17"/>
        <v>0</v>
      </c>
      <c r="T14" s="16">
        <f t="shared" si="18"/>
        <v>0</v>
      </c>
      <c r="U14" s="41"/>
      <c r="V14" s="35"/>
      <c r="W14" s="14">
        <f t="shared" si="3"/>
        <v>0</v>
      </c>
      <c r="X14" s="15">
        <f t="shared" si="19"/>
        <v>0</v>
      </c>
      <c r="Y14" s="14">
        <f t="shared" si="4"/>
        <v>0</v>
      </c>
      <c r="Z14" s="16">
        <f t="shared" si="20"/>
        <v>0</v>
      </c>
      <c r="AA14" s="41"/>
      <c r="AB14" s="35"/>
      <c r="AC14" s="14">
        <f t="shared" si="5"/>
        <v>0</v>
      </c>
      <c r="AD14" s="15">
        <f t="shared" si="21"/>
        <v>0</v>
      </c>
      <c r="AE14" s="14">
        <f t="shared" si="6"/>
        <v>0</v>
      </c>
      <c r="AF14" s="16">
        <f t="shared" si="22"/>
        <v>0</v>
      </c>
      <c r="AG14" s="41"/>
      <c r="AH14" s="35"/>
      <c r="AI14" s="14">
        <f t="shared" si="7"/>
        <v>0</v>
      </c>
      <c r="AJ14" s="15">
        <f t="shared" si="23"/>
        <v>0</v>
      </c>
      <c r="AK14" s="14">
        <f t="shared" si="24"/>
        <v>0</v>
      </c>
      <c r="AL14" s="16">
        <f t="shared" si="25"/>
        <v>0</v>
      </c>
      <c r="AM14" s="41"/>
      <c r="AN14" s="35"/>
      <c r="AO14" s="14">
        <f t="shared" si="8"/>
        <v>0</v>
      </c>
      <c r="AP14" s="15">
        <f t="shared" si="26"/>
        <v>0</v>
      </c>
      <c r="AQ14" s="14">
        <f t="shared" si="27"/>
        <v>0</v>
      </c>
      <c r="AR14" s="16">
        <f t="shared" si="28"/>
        <v>0</v>
      </c>
      <c r="AS14" s="41"/>
      <c r="AT14" s="35"/>
      <c r="AU14" s="14">
        <f t="shared" si="9"/>
        <v>0</v>
      </c>
      <c r="AV14" s="15">
        <f t="shared" si="29"/>
        <v>0</v>
      </c>
      <c r="AW14" s="14">
        <f t="shared" si="30"/>
        <v>0</v>
      </c>
      <c r="AX14" s="16">
        <f t="shared" si="31"/>
        <v>0</v>
      </c>
      <c r="AY14" s="27">
        <f t="shared" si="32"/>
        <v>0</v>
      </c>
      <c r="AZ14" s="51">
        <f t="shared" si="33"/>
        <v>0</v>
      </c>
      <c r="BA14" s="53">
        <f t="shared" si="34"/>
        <v>0</v>
      </c>
    </row>
    <row r="15" spans="1:53" ht="15" thickBot="1">
      <c r="A15" s="48"/>
      <c r="B15" s="49"/>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27"/>
      <c r="AZ15" s="51"/>
      <c r="BA15" s="53"/>
    </row>
    <row r="16" spans="1:53">
      <c r="A16" s="252" t="s">
        <v>21</v>
      </c>
      <c r="B16" s="253"/>
      <c r="C16" s="36"/>
      <c r="D16" s="30"/>
      <c r="E16" s="8">
        <f t="shared" ref="E16:E24" si="69">D16-C16</f>
        <v>0</v>
      </c>
      <c r="F16" s="9">
        <f t="shared" ref="F16:F24" si="70">IF(AND(C16=0,D16=0),0,IFERROR(E16/C16,"Variance"))</f>
        <v>0</v>
      </c>
      <c r="G16" s="8">
        <f t="shared" ref="G16:G23" si="71">E16</f>
        <v>0</v>
      </c>
      <c r="H16" s="10">
        <f t="shared" si="12"/>
        <v>0</v>
      </c>
      <c r="I16" s="36"/>
      <c r="J16" s="30"/>
      <c r="K16" s="8">
        <f t="shared" ref="K16:K24" si="72">J16-I16</f>
        <v>0</v>
      </c>
      <c r="L16" s="9">
        <f t="shared" ref="L16:L26" si="73">IF(AND(I16=0,J16=0),0,IFERROR(K16/I16,"Variance"))</f>
        <v>0</v>
      </c>
      <c r="M16" s="8">
        <f t="shared" si="14"/>
        <v>0</v>
      </c>
      <c r="N16" s="10">
        <f t="shared" si="15"/>
        <v>0</v>
      </c>
      <c r="O16" s="39"/>
      <c r="P16" s="33"/>
      <c r="Q16" s="8">
        <f t="shared" ref="Q16:Q24" si="74">P16-O16</f>
        <v>0</v>
      </c>
      <c r="R16" s="9">
        <f>IF(AND(O16=0,P16=0),0,IFERROR(Q16/O16,"Variance"))</f>
        <v>0</v>
      </c>
      <c r="S16" s="8">
        <f t="shared" ref="S16:S24" si="75">M16+Q16</f>
        <v>0</v>
      </c>
      <c r="T16" s="10">
        <f t="shared" si="18"/>
        <v>0</v>
      </c>
      <c r="U16" s="39"/>
      <c r="V16" s="33"/>
      <c r="W16" s="8">
        <f t="shared" ref="W16:W24" si="76">V16-U16</f>
        <v>0</v>
      </c>
      <c r="X16" s="9">
        <f>IF(AND(U16=0,V16=0),0,IFERROR(W16/U16,"Variance"))</f>
        <v>0</v>
      </c>
      <c r="Y16" s="8">
        <f t="shared" ref="Y16:Y24" si="77">S16+W16</f>
        <v>0</v>
      </c>
      <c r="Z16" s="10">
        <f t="shared" si="20"/>
        <v>0</v>
      </c>
      <c r="AA16" s="39"/>
      <c r="AB16" s="33"/>
      <c r="AC16" s="8">
        <f t="shared" ref="AC16:AC24" si="78">AB16-AA16</f>
        <v>0</v>
      </c>
      <c r="AD16" s="9">
        <f>IF(AND(AA16=0,AB16=0),0,IFERROR(AC16/AA16,"Variance"))</f>
        <v>0</v>
      </c>
      <c r="AE16" s="8">
        <f t="shared" ref="AE16:AE24" si="79">Y16+AC16</f>
        <v>0</v>
      </c>
      <c r="AF16" s="10">
        <f t="shared" si="22"/>
        <v>0</v>
      </c>
      <c r="AG16" s="39"/>
      <c r="AH16" s="33"/>
      <c r="AI16" s="8">
        <f t="shared" ref="AI16:AI24" si="80">AH16-AG16</f>
        <v>0</v>
      </c>
      <c r="AJ16" s="9">
        <f>IF(AND(AG16=0,AH16=0),0,IFERROR(AI16/AG16,"Variance"))</f>
        <v>0</v>
      </c>
      <c r="AK16" s="8">
        <f t="shared" ref="AK16:AK24" si="81">AE16+AI16</f>
        <v>0</v>
      </c>
      <c r="AL16" s="10">
        <f t="shared" si="25"/>
        <v>0</v>
      </c>
      <c r="AM16" s="39"/>
      <c r="AN16" s="33"/>
      <c r="AO16" s="8">
        <f t="shared" ref="AO16:AO24" si="82">AN16-AM16</f>
        <v>0</v>
      </c>
      <c r="AP16" s="9">
        <f>IF(AND(AM16=0,AN16=0),0,IFERROR(AO16/AM16,"Variance"))</f>
        <v>0</v>
      </c>
      <c r="AQ16" s="8">
        <f t="shared" ref="AQ16:AQ24" si="83">AK16+AO16</f>
        <v>0</v>
      </c>
      <c r="AR16" s="10">
        <f t="shared" si="28"/>
        <v>0</v>
      </c>
      <c r="AS16" s="39"/>
      <c r="AT16" s="33"/>
      <c r="AU16" s="8">
        <f t="shared" ref="AU16:AU24" si="84">AT16-AS16</f>
        <v>0</v>
      </c>
      <c r="AV16" s="9">
        <f>IF(AND(AS16=0,AT16=0),0,IFERROR(AU16/AS16,"Variance"))</f>
        <v>0</v>
      </c>
      <c r="AW16" s="8">
        <f t="shared" ref="AW16:AW24" si="85">AQ16+AU16</f>
        <v>0</v>
      </c>
      <c r="AX16" s="10">
        <f t="shared" si="31"/>
        <v>0</v>
      </c>
      <c r="AY16" s="27">
        <f t="shared" si="32"/>
        <v>0</v>
      </c>
      <c r="AZ16" s="51">
        <f t="shared" si="33"/>
        <v>0</v>
      </c>
      <c r="BA16" s="53">
        <f t="shared" ref="BA16:BA27" si="86">AZ16-AY16</f>
        <v>0</v>
      </c>
    </row>
    <row r="17" spans="1:53">
      <c r="A17" s="254" t="s">
        <v>22</v>
      </c>
      <c r="B17" s="255"/>
      <c r="C17" s="37"/>
      <c r="D17" s="31"/>
      <c r="E17" s="11">
        <f t="shared" si="69"/>
        <v>0</v>
      </c>
      <c r="F17" s="12">
        <f t="shared" si="70"/>
        <v>0</v>
      </c>
      <c r="G17" s="11">
        <f t="shared" si="71"/>
        <v>0</v>
      </c>
      <c r="H17" s="13">
        <f t="shared" si="12"/>
        <v>0</v>
      </c>
      <c r="I17" s="37"/>
      <c r="J17" s="31"/>
      <c r="K17" s="11">
        <f t="shared" si="72"/>
        <v>0</v>
      </c>
      <c r="L17" s="12">
        <f t="shared" si="73"/>
        <v>0</v>
      </c>
      <c r="M17" s="11">
        <f t="shared" si="14"/>
        <v>0</v>
      </c>
      <c r="N17" s="13">
        <f t="shared" si="15"/>
        <v>0</v>
      </c>
      <c r="O17" s="40"/>
      <c r="P17" s="34"/>
      <c r="Q17" s="11">
        <f t="shared" si="74"/>
        <v>0</v>
      </c>
      <c r="R17" s="12">
        <f t="shared" ref="R17:R24" si="87">IF(AND(O17=0,P17=0),0,IFERROR(Q17/O17,"Variance"))</f>
        <v>0</v>
      </c>
      <c r="S17" s="11">
        <f t="shared" si="75"/>
        <v>0</v>
      </c>
      <c r="T17" s="13">
        <f t="shared" si="18"/>
        <v>0</v>
      </c>
      <c r="U17" s="40"/>
      <c r="V17" s="34"/>
      <c r="W17" s="11">
        <f t="shared" si="76"/>
        <v>0</v>
      </c>
      <c r="X17" s="12">
        <f t="shared" ref="X17:X24" si="88">IF(AND(U17=0,V17=0),0,IFERROR(W17/U17,"Variance"))</f>
        <v>0</v>
      </c>
      <c r="Y17" s="11">
        <f t="shared" si="77"/>
        <v>0</v>
      </c>
      <c r="Z17" s="13">
        <f t="shared" si="20"/>
        <v>0</v>
      </c>
      <c r="AA17" s="40"/>
      <c r="AB17" s="34"/>
      <c r="AC17" s="11">
        <f t="shared" si="78"/>
        <v>0</v>
      </c>
      <c r="AD17" s="12">
        <f t="shared" ref="AD17:AD24" si="89">IF(AND(AA17=0,AB17=0),0,IFERROR(AC17/AA17,"Variance"))</f>
        <v>0</v>
      </c>
      <c r="AE17" s="11">
        <f t="shared" si="79"/>
        <v>0</v>
      </c>
      <c r="AF17" s="13">
        <f t="shared" si="22"/>
        <v>0</v>
      </c>
      <c r="AG17" s="40"/>
      <c r="AH17" s="34"/>
      <c r="AI17" s="11">
        <f t="shared" si="80"/>
        <v>0</v>
      </c>
      <c r="AJ17" s="12">
        <f t="shared" ref="AJ17:AJ24" si="90">IF(AND(AG17=0,AH17=0),0,IFERROR(AI17/AG17,"Variance"))</f>
        <v>0</v>
      </c>
      <c r="AK17" s="11">
        <f t="shared" si="81"/>
        <v>0</v>
      </c>
      <c r="AL17" s="13">
        <f t="shared" si="25"/>
        <v>0</v>
      </c>
      <c r="AM17" s="40"/>
      <c r="AN17" s="34"/>
      <c r="AO17" s="11">
        <f t="shared" si="82"/>
        <v>0</v>
      </c>
      <c r="AP17" s="12">
        <f t="shared" ref="AP17:AP24" si="91">IF(AND(AM17=0,AN17=0),0,IFERROR(AO17/AM17,"Variance"))</f>
        <v>0</v>
      </c>
      <c r="AQ17" s="11">
        <f t="shared" si="83"/>
        <v>0</v>
      </c>
      <c r="AR17" s="13">
        <f t="shared" si="28"/>
        <v>0</v>
      </c>
      <c r="AS17" s="40"/>
      <c r="AT17" s="34"/>
      <c r="AU17" s="11">
        <f t="shared" si="84"/>
        <v>0</v>
      </c>
      <c r="AV17" s="12">
        <f t="shared" ref="AV17:AV24" si="92">IF(AND(AS17=0,AT17=0),0,IFERROR(AU17/AS17,"Variance"))</f>
        <v>0</v>
      </c>
      <c r="AW17" s="11">
        <f t="shared" si="85"/>
        <v>0</v>
      </c>
      <c r="AX17" s="13">
        <f t="shared" si="31"/>
        <v>0</v>
      </c>
      <c r="AY17" s="27">
        <f t="shared" si="32"/>
        <v>0</v>
      </c>
      <c r="AZ17" s="51">
        <f t="shared" si="33"/>
        <v>0</v>
      </c>
      <c r="BA17" s="53">
        <f t="shared" si="86"/>
        <v>0</v>
      </c>
    </row>
    <row r="18" spans="1:53">
      <c r="A18" s="254" t="s">
        <v>23</v>
      </c>
      <c r="B18" s="255"/>
      <c r="C18" s="37"/>
      <c r="D18" s="31"/>
      <c r="E18" s="11">
        <f t="shared" si="69"/>
        <v>0</v>
      </c>
      <c r="F18" s="12">
        <f t="shared" si="70"/>
        <v>0</v>
      </c>
      <c r="G18" s="11">
        <f t="shared" si="71"/>
        <v>0</v>
      </c>
      <c r="H18" s="13">
        <f t="shared" si="12"/>
        <v>0</v>
      </c>
      <c r="I18" s="37"/>
      <c r="J18" s="31"/>
      <c r="K18" s="11">
        <f t="shared" si="72"/>
        <v>0</v>
      </c>
      <c r="L18" s="12">
        <f t="shared" si="73"/>
        <v>0</v>
      </c>
      <c r="M18" s="11">
        <f t="shared" si="14"/>
        <v>0</v>
      </c>
      <c r="N18" s="13">
        <f t="shared" si="15"/>
        <v>0</v>
      </c>
      <c r="O18" s="40"/>
      <c r="P18" s="34"/>
      <c r="Q18" s="11">
        <f t="shared" si="74"/>
        <v>0</v>
      </c>
      <c r="R18" s="12">
        <f t="shared" si="87"/>
        <v>0</v>
      </c>
      <c r="S18" s="11">
        <f t="shared" si="75"/>
        <v>0</v>
      </c>
      <c r="T18" s="13">
        <f t="shared" si="18"/>
        <v>0</v>
      </c>
      <c r="U18" s="40"/>
      <c r="V18" s="34"/>
      <c r="W18" s="11">
        <f t="shared" si="76"/>
        <v>0</v>
      </c>
      <c r="X18" s="12">
        <f t="shared" si="88"/>
        <v>0</v>
      </c>
      <c r="Y18" s="11">
        <f t="shared" si="77"/>
        <v>0</v>
      </c>
      <c r="Z18" s="13">
        <f t="shared" si="20"/>
        <v>0</v>
      </c>
      <c r="AA18" s="40"/>
      <c r="AB18" s="34"/>
      <c r="AC18" s="11">
        <f t="shared" si="78"/>
        <v>0</v>
      </c>
      <c r="AD18" s="12">
        <f t="shared" si="89"/>
        <v>0</v>
      </c>
      <c r="AE18" s="11">
        <f t="shared" si="79"/>
        <v>0</v>
      </c>
      <c r="AF18" s="13">
        <f t="shared" si="22"/>
        <v>0</v>
      </c>
      <c r="AG18" s="40"/>
      <c r="AH18" s="34"/>
      <c r="AI18" s="11">
        <f t="shared" si="80"/>
        <v>0</v>
      </c>
      <c r="AJ18" s="12">
        <f t="shared" si="90"/>
        <v>0</v>
      </c>
      <c r="AK18" s="11">
        <f t="shared" si="81"/>
        <v>0</v>
      </c>
      <c r="AL18" s="13">
        <f t="shared" si="25"/>
        <v>0</v>
      </c>
      <c r="AM18" s="40"/>
      <c r="AN18" s="34"/>
      <c r="AO18" s="11">
        <f t="shared" si="82"/>
        <v>0</v>
      </c>
      <c r="AP18" s="12">
        <f t="shared" si="91"/>
        <v>0</v>
      </c>
      <c r="AQ18" s="11">
        <f t="shared" si="83"/>
        <v>0</v>
      </c>
      <c r="AR18" s="13">
        <f t="shared" si="28"/>
        <v>0</v>
      </c>
      <c r="AS18" s="40"/>
      <c r="AT18" s="34"/>
      <c r="AU18" s="11">
        <f t="shared" si="84"/>
        <v>0</v>
      </c>
      <c r="AV18" s="12">
        <f t="shared" si="92"/>
        <v>0</v>
      </c>
      <c r="AW18" s="11">
        <f t="shared" si="85"/>
        <v>0</v>
      </c>
      <c r="AX18" s="13">
        <f t="shared" si="31"/>
        <v>0</v>
      </c>
      <c r="AY18" s="27">
        <f t="shared" si="32"/>
        <v>0</v>
      </c>
      <c r="AZ18" s="51">
        <f t="shared" si="33"/>
        <v>0</v>
      </c>
      <c r="BA18" s="53">
        <f t="shared" si="86"/>
        <v>0</v>
      </c>
    </row>
    <row r="19" spans="1:53">
      <c r="A19" s="254" t="s">
        <v>24</v>
      </c>
      <c r="B19" s="255"/>
      <c r="C19" s="37"/>
      <c r="D19" s="31"/>
      <c r="E19" s="11">
        <f t="shared" si="69"/>
        <v>0</v>
      </c>
      <c r="F19" s="12">
        <f t="shared" si="70"/>
        <v>0</v>
      </c>
      <c r="G19" s="11">
        <f t="shared" si="71"/>
        <v>0</v>
      </c>
      <c r="H19" s="13">
        <f t="shared" si="12"/>
        <v>0</v>
      </c>
      <c r="I19" s="37"/>
      <c r="J19" s="31"/>
      <c r="K19" s="11">
        <f t="shared" si="72"/>
        <v>0</v>
      </c>
      <c r="L19" s="12">
        <f t="shared" si="73"/>
        <v>0</v>
      </c>
      <c r="M19" s="11">
        <f t="shared" si="14"/>
        <v>0</v>
      </c>
      <c r="N19" s="13">
        <f t="shared" si="15"/>
        <v>0</v>
      </c>
      <c r="O19" s="40"/>
      <c r="P19" s="34"/>
      <c r="Q19" s="11">
        <f t="shared" si="74"/>
        <v>0</v>
      </c>
      <c r="R19" s="12">
        <f t="shared" si="87"/>
        <v>0</v>
      </c>
      <c r="S19" s="11">
        <f t="shared" si="75"/>
        <v>0</v>
      </c>
      <c r="T19" s="13">
        <f t="shared" si="18"/>
        <v>0</v>
      </c>
      <c r="U19" s="40"/>
      <c r="V19" s="34"/>
      <c r="W19" s="11">
        <f t="shared" si="76"/>
        <v>0</v>
      </c>
      <c r="X19" s="12">
        <f t="shared" si="88"/>
        <v>0</v>
      </c>
      <c r="Y19" s="11">
        <f t="shared" si="77"/>
        <v>0</v>
      </c>
      <c r="Z19" s="13">
        <f t="shared" si="20"/>
        <v>0</v>
      </c>
      <c r="AA19" s="40"/>
      <c r="AB19" s="34"/>
      <c r="AC19" s="11">
        <f t="shared" si="78"/>
        <v>0</v>
      </c>
      <c r="AD19" s="12">
        <f t="shared" si="89"/>
        <v>0</v>
      </c>
      <c r="AE19" s="11">
        <f t="shared" si="79"/>
        <v>0</v>
      </c>
      <c r="AF19" s="13">
        <f t="shared" si="22"/>
        <v>0</v>
      </c>
      <c r="AG19" s="40"/>
      <c r="AH19" s="34"/>
      <c r="AI19" s="11">
        <f t="shared" si="80"/>
        <v>0</v>
      </c>
      <c r="AJ19" s="12">
        <f t="shared" si="90"/>
        <v>0</v>
      </c>
      <c r="AK19" s="11">
        <f t="shared" si="81"/>
        <v>0</v>
      </c>
      <c r="AL19" s="13">
        <f t="shared" si="25"/>
        <v>0</v>
      </c>
      <c r="AM19" s="40"/>
      <c r="AN19" s="34"/>
      <c r="AO19" s="11">
        <f t="shared" si="82"/>
        <v>0</v>
      </c>
      <c r="AP19" s="12">
        <f t="shared" si="91"/>
        <v>0</v>
      </c>
      <c r="AQ19" s="11">
        <f t="shared" si="83"/>
        <v>0</v>
      </c>
      <c r="AR19" s="13">
        <f t="shared" si="28"/>
        <v>0</v>
      </c>
      <c r="AS19" s="40"/>
      <c r="AT19" s="34"/>
      <c r="AU19" s="11">
        <f t="shared" si="84"/>
        <v>0</v>
      </c>
      <c r="AV19" s="12">
        <f t="shared" si="92"/>
        <v>0</v>
      </c>
      <c r="AW19" s="11">
        <f t="shared" si="85"/>
        <v>0</v>
      </c>
      <c r="AX19" s="13">
        <f t="shared" si="31"/>
        <v>0</v>
      </c>
      <c r="AY19" s="27">
        <f t="shared" si="32"/>
        <v>0</v>
      </c>
      <c r="AZ19" s="51">
        <f t="shared" si="33"/>
        <v>0</v>
      </c>
      <c r="BA19" s="53">
        <f t="shared" si="86"/>
        <v>0</v>
      </c>
    </row>
    <row r="20" spans="1:53">
      <c r="A20" s="254" t="s">
        <v>25</v>
      </c>
      <c r="B20" s="255"/>
      <c r="C20" s="37"/>
      <c r="D20" s="31"/>
      <c r="E20" s="11">
        <f t="shared" si="69"/>
        <v>0</v>
      </c>
      <c r="F20" s="12">
        <f t="shared" si="70"/>
        <v>0</v>
      </c>
      <c r="G20" s="11">
        <f t="shared" si="71"/>
        <v>0</v>
      </c>
      <c r="H20" s="13">
        <f t="shared" si="12"/>
        <v>0</v>
      </c>
      <c r="I20" s="37"/>
      <c r="J20" s="31"/>
      <c r="K20" s="11">
        <f t="shared" si="72"/>
        <v>0</v>
      </c>
      <c r="L20" s="12">
        <f t="shared" si="73"/>
        <v>0</v>
      </c>
      <c r="M20" s="11">
        <f t="shared" si="14"/>
        <v>0</v>
      </c>
      <c r="N20" s="13">
        <f t="shared" si="15"/>
        <v>0</v>
      </c>
      <c r="O20" s="40"/>
      <c r="P20" s="34"/>
      <c r="Q20" s="11">
        <f t="shared" si="74"/>
        <v>0</v>
      </c>
      <c r="R20" s="12">
        <f t="shared" si="87"/>
        <v>0</v>
      </c>
      <c r="S20" s="11">
        <f t="shared" si="75"/>
        <v>0</v>
      </c>
      <c r="T20" s="13">
        <f t="shared" si="18"/>
        <v>0</v>
      </c>
      <c r="U20" s="40"/>
      <c r="V20" s="34"/>
      <c r="W20" s="11">
        <f t="shared" si="76"/>
        <v>0</v>
      </c>
      <c r="X20" s="12">
        <f t="shared" si="88"/>
        <v>0</v>
      </c>
      <c r="Y20" s="11">
        <f t="shared" si="77"/>
        <v>0</v>
      </c>
      <c r="Z20" s="13">
        <f t="shared" si="20"/>
        <v>0</v>
      </c>
      <c r="AA20" s="40"/>
      <c r="AB20" s="34"/>
      <c r="AC20" s="11">
        <f t="shared" si="78"/>
        <v>0</v>
      </c>
      <c r="AD20" s="12">
        <f t="shared" si="89"/>
        <v>0</v>
      </c>
      <c r="AE20" s="11">
        <f t="shared" si="79"/>
        <v>0</v>
      </c>
      <c r="AF20" s="13">
        <f t="shared" si="22"/>
        <v>0</v>
      </c>
      <c r="AG20" s="40"/>
      <c r="AH20" s="34"/>
      <c r="AI20" s="11">
        <f t="shared" si="80"/>
        <v>0</v>
      </c>
      <c r="AJ20" s="12">
        <f t="shared" si="90"/>
        <v>0</v>
      </c>
      <c r="AK20" s="11">
        <f t="shared" si="81"/>
        <v>0</v>
      </c>
      <c r="AL20" s="13">
        <f t="shared" si="25"/>
        <v>0</v>
      </c>
      <c r="AM20" s="40"/>
      <c r="AN20" s="34"/>
      <c r="AO20" s="11">
        <f t="shared" si="82"/>
        <v>0</v>
      </c>
      <c r="AP20" s="12">
        <f t="shared" si="91"/>
        <v>0</v>
      </c>
      <c r="AQ20" s="11">
        <f t="shared" si="83"/>
        <v>0</v>
      </c>
      <c r="AR20" s="13">
        <f t="shared" si="28"/>
        <v>0</v>
      </c>
      <c r="AS20" s="40"/>
      <c r="AT20" s="34"/>
      <c r="AU20" s="11">
        <f t="shared" si="84"/>
        <v>0</v>
      </c>
      <c r="AV20" s="12">
        <f t="shared" si="92"/>
        <v>0</v>
      </c>
      <c r="AW20" s="11">
        <f t="shared" si="85"/>
        <v>0</v>
      </c>
      <c r="AX20" s="13">
        <f t="shared" si="31"/>
        <v>0</v>
      </c>
      <c r="AY20" s="27">
        <f t="shared" si="32"/>
        <v>0</v>
      </c>
      <c r="AZ20" s="51">
        <f t="shared" si="33"/>
        <v>0</v>
      </c>
      <c r="BA20" s="53">
        <f t="shared" si="86"/>
        <v>0</v>
      </c>
    </row>
    <row r="21" spans="1:53">
      <c r="A21" s="254" t="s">
        <v>26</v>
      </c>
      <c r="B21" s="255"/>
      <c r="C21" s="37"/>
      <c r="D21" s="31"/>
      <c r="E21" s="11">
        <f t="shared" si="69"/>
        <v>0</v>
      </c>
      <c r="F21" s="12">
        <f t="shared" si="70"/>
        <v>0</v>
      </c>
      <c r="G21" s="11">
        <f t="shared" si="71"/>
        <v>0</v>
      </c>
      <c r="H21" s="13">
        <f t="shared" si="12"/>
        <v>0</v>
      </c>
      <c r="I21" s="37"/>
      <c r="J21" s="31"/>
      <c r="K21" s="11">
        <f t="shared" si="72"/>
        <v>0</v>
      </c>
      <c r="L21" s="12">
        <f t="shared" si="73"/>
        <v>0</v>
      </c>
      <c r="M21" s="11">
        <f t="shared" si="14"/>
        <v>0</v>
      </c>
      <c r="N21" s="13">
        <f t="shared" si="15"/>
        <v>0</v>
      </c>
      <c r="O21" s="40"/>
      <c r="P21" s="34"/>
      <c r="Q21" s="11">
        <f t="shared" si="74"/>
        <v>0</v>
      </c>
      <c r="R21" s="12">
        <f t="shared" si="87"/>
        <v>0</v>
      </c>
      <c r="S21" s="11">
        <f t="shared" si="75"/>
        <v>0</v>
      </c>
      <c r="T21" s="13">
        <f t="shared" si="18"/>
        <v>0</v>
      </c>
      <c r="U21" s="40"/>
      <c r="V21" s="34"/>
      <c r="W21" s="11">
        <f t="shared" si="76"/>
        <v>0</v>
      </c>
      <c r="X21" s="12">
        <f t="shared" si="88"/>
        <v>0</v>
      </c>
      <c r="Y21" s="11">
        <f t="shared" si="77"/>
        <v>0</v>
      </c>
      <c r="Z21" s="13">
        <f t="shared" si="20"/>
        <v>0</v>
      </c>
      <c r="AA21" s="40"/>
      <c r="AB21" s="34"/>
      <c r="AC21" s="11">
        <f t="shared" si="78"/>
        <v>0</v>
      </c>
      <c r="AD21" s="12">
        <f t="shared" si="89"/>
        <v>0</v>
      </c>
      <c r="AE21" s="11">
        <f t="shared" si="79"/>
        <v>0</v>
      </c>
      <c r="AF21" s="13">
        <f t="shared" si="22"/>
        <v>0</v>
      </c>
      <c r="AG21" s="40"/>
      <c r="AH21" s="34"/>
      <c r="AI21" s="11">
        <f t="shared" si="80"/>
        <v>0</v>
      </c>
      <c r="AJ21" s="12">
        <f t="shared" si="90"/>
        <v>0</v>
      </c>
      <c r="AK21" s="11">
        <f t="shared" si="81"/>
        <v>0</v>
      </c>
      <c r="AL21" s="13">
        <f t="shared" si="25"/>
        <v>0</v>
      </c>
      <c r="AM21" s="40"/>
      <c r="AN21" s="34"/>
      <c r="AO21" s="11">
        <f t="shared" si="82"/>
        <v>0</v>
      </c>
      <c r="AP21" s="12">
        <f t="shared" si="91"/>
        <v>0</v>
      </c>
      <c r="AQ21" s="11">
        <f t="shared" si="83"/>
        <v>0</v>
      </c>
      <c r="AR21" s="13">
        <f t="shared" si="28"/>
        <v>0</v>
      </c>
      <c r="AS21" s="40"/>
      <c r="AT21" s="34"/>
      <c r="AU21" s="11">
        <f t="shared" si="84"/>
        <v>0</v>
      </c>
      <c r="AV21" s="12">
        <f t="shared" si="92"/>
        <v>0</v>
      </c>
      <c r="AW21" s="11">
        <f t="shared" si="85"/>
        <v>0</v>
      </c>
      <c r="AX21" s="13">
        <f t="shared" si="31"/>
        <v>0</v>
      </c>
      <c r="AY21" s="27">
        <f t="shared" si="32"/>
        <v>0</v>
      </c>
      <c r="AZ21" s="51">
        <f t="shared" si="33"/>
        <v>0</v>
      </c>
      <c r="BA21" s="53">
        <f t="shared" si="86"/>
        <v>0</v>
      </c>
    </row>
    <row r="22" spans="1:53">
      <c r="A22" s="254" t="s">
        <v>27</v>
      </c>
      <c r="B22" s="255"/>
      <c r="C22" s="37"/>
      <c r="D22" s="31"/>
      <c r="E22" s="11">
        <f t="shared" si="69"/>
        <v>0</v>
      </c>
      <c r="F22" s="12">
        <f t="shared" si="70"/>
        <v>0</v>
      </c>
      <c r="G22" s="11">
        <f t="shared" si="71"/>
        <v>0</v>
      </c>
      <c r="H22" s="13">
        <f t="shared" si="12"/>
        <v>0</v>
      </c>
      <c r="I22" s="37"/>
      <c r="J22" s="31"/>
      <c r="K22" s="11">
        <f t="shared" si="72"/>
        <v>0</v>
      </c>
      <c r="L22" s="12">
        <f t="shared" si="73"/>
        <v>0</v>
      </c>
      <c r="M22" s="11">
        <f t="shared" si="14"/>
        <v>0</v>
      </c>
      <c r="N22" s="13">
        <f t="shared" si="15"/>
        <v>0</v>
      </c>
      <c r="O22" s="40"/>
      <c r="P22" s="34"/>
      <c r="Q22" s="11">
        <f t="shared" si="74"/>
        <v>0</v>
      </c>
      <c r="R22" s="12">
        <f t="shared" si="87"/>
        <v>0</v>
      </c>
      <c r="S22" s="11">
        <f t="shared" si="75"/>
        <v>0</v>
      </c>
      <c r="T22" s="13">
        <f t="shared" si="18"/>
        <v>0</v>
      </c>
      <c r="U22" s="40"/>
      <c r="V22" s="34"/>
      <c r="W22" s="11">
        <f t="shared" si="76"/>
        <v>0</v>
      </c>
      <c r="X22" s="12">
        <f t="shared" si="88"/>
        <v>0</v>
      </c>
      <c r="Y22" s="11">
        <f t="shared" si="77"/>
        <v>0</v>
      </c>
      <c r="Z22" s="13">
        <f t="shared" si="20"/>
        <v>0</v>
      </c>
      <c r="AA22" s="40"/>
      <c r="AB22" s="34"/>
      <c r="AC22" s="11">
        <f t="shared" si="78"/>
        <v>0</v>
      </c>
      <c r="AD22" s="12">
        <f t="shared" si="89"/>
        <v>0</v>
      </c>
      <c r="AE22" s="11">
        <f t="shared" si="79"/>
        <v>0</v>
      </c>
      <c r="AF22" s="13">
        <f t="shared" si="22"/>
        <v>0</v>
      </c>
      <c r="AG22" s="40"/>
      <c r="AH22" s="34"/>
      <c r="AI22" s="11">
        <f t="shared" si="80"/>
        <v>0</v>
      </c>
      <c r="AJ22" s="12">
        <f t="shared" si="90"/>
        <v>0</v>
      </c>
      <c r="AK22" s="11">
        <f t="shared" si="81"/>
        <v>0</v>
      </c>
      <c r="AL22" s="13">
        <f t="shared" si="25"/>
        <v>0</v>
      </c>
      <c r="AM22" s="40"/>
      <c r="AN22" s="34"/>
      <c r="AO22" s="11">
        <f t="shared" si="82"/>
        <v>0</v>
      </c>
      <c r="AP22" s="12">
        <f t="shared" si="91"/>
        <v>0</v>
      </c>
      <c r="AQ22" s="11">
        <f t="shared" si="83"/>
        <v>0</v>
      </c>
      <c r="AR22" s="13">
        <f t="shared" si="28"/>
        <v>0</v>
      </c>
      <c r="AS22" s="40"/>
      <c r="AT22" s="34"/>
      <c r="AU22" s="11">
        <f t="shared" si="84"/>
        <v>0</v>
      </c>
      <c r="AV22" s="12">
        <f t="shared" si="92"/>
        <v>0</v>
      </c>
      <c r="AW22" s="11">
        <f t="shared" si="85"/>
        <v>0</v>
      </c>
      <c r="AX22" s="13">
        <f t="shared" si="31"/>
        <v>0</v>
      </c>
      <c r="AY22" s="27">
        <f t="shared" si="32"/>
        <v>0</v>
      </c>
      <c r="AZ22" s="51">
        <f t="shared" si="33"/>
        <v>0</v>
      </c>
      <c r="BA22" s="53">
        <f t="shared" si="86"/>
        <v>0</v>
      </c>
    </row>
    <row r="23" spans="1:53">
      <c r="A23" s="254" t="s">
        <v>91</v>
      </c>
      <c r="B23" s="255"/>
      <c r="C23" s="37"/>
      <c r="D23" s="31"/>
      <c r="E23" s="11">
        <f t="shared" si="69"/>
        <v>0</v>
      </c>
      <c r="F23" s="12">
        <f t="shared" si="70"/>
        <v>0</v>
      </c>
      <c r="G23" s="11">
        <f t="shared" si="71"/>
        <v>0</v>
      </c>
      <c r="H23" s="13">
        <f t="shared" si="12"/>
        <v>0</v>
      </c>
      <c r="I23" s="37"/>
      <c r="J23" s="31"/>
      <c r="K23" s="11">
        <f t="shared" si="72"/>
        <v>0</v>
      </c>
      <c r="L23" s="12">
        <f t="shared" si="73"/>
        <v>0</v>
      </c>
      <c r="M23" s="11">
        <f t="shared" si="14"/>
        <v>0</v>
      </c>
      <c r="N23" s="13">
        <f t="shared" si="15"/>
        <v>0</v>
      </c>
      <c r="O23" s="40"/>
      <c r="P23" s="34"/>
      <c r="Q23" s="11">
        <f t="shared" si="74"/>
        <v>0</v>
      </c>
      <c r="R23" s="12">
        <f t="shared" si="87"/>
        <v>0</v>
      </c>
      <c r="S23" s="11">
        <f t="shared" si="75"/>
        <v>0</v>
      </c>
      <c r="T23" s="13">
        <f t="shared" si="18"/>
        <v>0</v>
      </c>
      <c r="U23" s="40"/>
      <c r="V23" s="34"/>
      <c r="W23" s="11">
        <f t="shared" si="76"/>
        <v>0</v>
      </c>
      <c r="X23" s="12">
        <f t="shared" si="88"/>
        <v>0</v>
      </c>
      <c r="Y23" s="11">
        <f t="shared" si="77"/>
        <v>0</v>
      </c>
      <c r="Z23" s="13">
        <f t="shared" si="20"/>
        <v>0</v>
      </c>
      <c r="AA23" s="40"/>
      <c r="AB23" s="34"/>
      <c r="AC23" s="11">
        <f t="shared" si="78"/>
        <v>0</v>
      </c>
      <c r="AD23" s="12">
        <f t="shared" si="89"/>
        <v>0</v>
      </c>
      <c r="AE23" s="11">
        <f t="shared" si="79"/>
        <v>0</v>
      </c>
      <c r="AF23" s="13">
        <f t="shared" si="22"/>
        <v>0</v>
      </c>
      <c r="AG23" s="40"/>
      <c r="AH23" s="34"/>
      <c r="AI23" s="11">
        <f t="shared" si="80"/>
        <v>0</v>
      </c>
      <c r="AJ23" s="12">
        <f t="shared" si="90"/>
        <v>0</v>
      </c>
      <c r="AK23" s="11">
        <f t="shared" si="81"/>
        <v>0</v>
      </c>
      <c r="AL23" s="13">
        <f t="shared" si="25"/>
        <v>0</v>
      </c>
      <c r="AM23" s="40"/>
      <c r="AN23" s="34"/>
      <c r="AO23" s="11">
        <f t="shared" si="82"/>
        <v>0</v>
      </c>
      <c r="AP23" s="12">
        <f t="shared" si="91"/>
        <v>0</v>
      </c>
      <c r="AQ23" s="11">
        <f t="shared" si="83"/>
        <v>0</v>
      </c>
      <c r="AR23" s="13">
        <f t="shared" si="28"/>
        <v>0</v>
      </c>
      <c r="AS23" s="40"/>
      <c r="AT23" s="34"/>
      <c r="AU23" s="11">
        <f t="shared" si="84"/>
        <v>0</v>
      </c>
      <c r="AV23" s="12">
        <f t="shared" si="92"/>
        <v>0</v>
      </c>
      <c r="AW23" s="11">
        <f t="shared" si="85"/>
        <v>0</v>
      </c>
      <c r="AX23" s="13">
        <f t="shared" si="31"/>
        <v>0</v>
      </c>
      <c r="AY23" s="27">
        <f t="shared" si="32"/>
        <v>0</v>
      </c>
      <c r="AZ23" s="51">
        <f t="shared" si="33"/>
        <v>0</v>
      </c>
      <c r="BA23" s="53">
        <f t="shared" si="86"/>
        <v>0</v>
      </c>
    </row>
    <row r="24" spans="1:53" ht="15" thickBot="1">
      <c r="A24" s="260" t="s">
        <v>29</v>
      </c>
      <c r="B24" s="261"/>
      <c r="C24" s="38"/>
      <c r="D24" s="32"/>
      <c r="E24" s="14">
        <f t="shared" si="69"/>
        <v>0</v>
      </c>
      <c r="F24" s="15">
        <f t="shared" si="70"/>
        <v>0</v>
      </c>
      <c r="G24" s="14">
        <f>E24</f>
        <v>0</v>
      </c>
      <c r="H24" s="16">
        <f t="shared" si="12"/>
        <v>0</v>
      </c>
      <c r="I24" s="38"/>
      <c r="J24" s="32"/>
      <c r="K24" s="14">
        <f t="shared" si="72"/>
        <v>0</v>
      </c>
      <c r="L24" s="15">
        <f t="shared" si="73"/>
        <v>0</v>
      </c>
      <c r="M24" s="14">
        <f t="shared" si="14"/>
        <v>0</v>
      </c>
      <c r="N24" s="16">
        <f t="shared" si="15"/>
        <v>0</v>
      </c>
      <c r="O24" s="41"/>
      <c r="P24" s="35"/>
      <c r="Q24" s="14">
        <f t="shared" si="74"/>
        <v>0</v>
      </c>
      <c r="R24" s="15">
        <f t="shared" si="87"/>
        <v>0</v>
      </c>
      <c r="S24" s="14">
        <f t="shared" si="75"/>
        <v>0</v>
      </c>
      <c r="T24" s="16">
        <f t="shared" si="18"/>
        <v>0</v>
      </c>
      <c r="U24" s="41"/>
      <c r="V24" s="35"/>
      <c r="W24" s="14">
        <f t="shared" si="76"/>
        <v>0</v>
      </c>
      <c r="X24" s="15">
        <f t="shared" si="88"/>
        <v>0</v>
      </c>
      <c r="Y24" s="14">
        <f t="shared" si="77"/>
        <v>0</v>
      </c>
      <c r="Z24" s="16">
        <f t="shared" si="20"/>
        <v>0</v>
      </c>
      <c r="AA24" s="41"/>
      <c r="AB24" s="35"/>
      <c r="AC24" s="14">
        <f t="shared" si="78"/>
        <v>0</v>
      </c>
      <c r="AD24" s="15">
        <f t="shared" si="89"/>
        <v>0</v>
      </c>
      <c r="AE24" s="14">
        <f t="shared" si="79"/>
        <v>0</v>
      </c>
      <c r="AF24" s="16">
        <f t="shared" si="22"/>
        <v>0</v>
      </c>
      <c r="AG24" s="41"/>
      <c r="AH24" s="35"/>
      <c r="AI24" s="14">
        <f t="shared" si="80"/>
        <v>0</v>
      </c>
      <c r="AJ24" s="15">
        <f t="shared" si="90"/>
        <v>0</v>
      </c>
      <c r="AK24" s="14">
        <f t="shared" si="81"/>
        <v>0</v>
      </c>
      <c r="AL24" s="16">
        <f t="shared" si="25"/>
        <v>0</v>
      </c>
      <c r="AM24" s="41"/>
      <c r="AN24" s="35"/>
      <c r="AO24" s="14">
        <f t="shared" si="82"/>
        <v>0</v>
      </c>
      <c r="AP24" s="15">
        <f t="shared" si="91"/>
        <v>0</v>
      </c>
      <c r="AQ24" s="14">
        <f t="shared" si="83"/>
        <v>0</v>
      </c>
      <c r="AR24" s="16">
        <f t="shared" si="28"/>
        <v>0</v>
      </c>
      <c r="AS24" s="41"/>
      <c r="AT24" s="35"/>
      <c r="AU24" s="14">
        <f t="shared" si="84"/>
        <v>0</v>
      </c>
      <c r="AV24" s="15">
        <f t="shared" si="92"/>
        <v>0</v>
      </c>
      <c r="AW24" s="14">
        <f t="shared" si="85"/>
        <v>0</v>
      </c>
      <c r="AX24" s="16">
        <f t="shared" si="31"/>
        <v>0</v>
      </c>
      <c r="AY24" s="27">
        <f t="shared" si="32"/>
        <v>0</v>
      </c>
      <c r="AZ24" s="51">
        <f t="shared" si="33"/>
        <v>0</v>
      </c>
      <c r="BA24" s="53">
        <f t="shared" si="86"/>
        <v>0</v>
      </c>
    </row>
    <row r="25" spans="1:53" ht="15" thickBot="1">
      <c r="A25" s="259" t="s">
        <v>92</v>
      </c>
      <c r="B25" s="259"/>
      <c r="C25" s="28">
        <f>SUM(C7:C14)+SUM(C16:C24)</f>
        <v>0</v>
      </c>
      <c r="D25" s="28">
        <f>SUM(D7:D14)+SUM(D16:D24)</f>
        <v>0</v>
      </c>
      <c r="E25" s="28">
        <f>SUM(E7:E14)+SUM(E16:E24)</f>
        <v>0</v>
      </c>
      <c r="F25" s="29">
        <f t="shared" ref="F25" si="93">IFERROR(E25/C25,0)</f>
        <v>0</v>
      </c>
      <c r="G25" s="28">
        <f>SUM(G7:G14)+SUM(G16:G24)</f>
        <v>0</v>
      </c>
      <c r="H25" s="29">
        <f t="shared" si="12"/>
        <v>0</v>
      </c>
      <c r="I25" s="28">
        <f>SUM(I7:I14)+SUM(I16:I24)</f>
        <v>0</v>
      </c>
      <c r="J25" s="28">
        <f>SUM(J7:J14)+SUM(J16:J24)</f>
        <v>0</v>
      </c>
      <c r="K25" s="28">
        <f>SUM(K7:K14)+SUM(K16:K24)</f>
        <v>0</v>
      </c>
      <c r="L25" s="29">
        <f t="shared" ref="L25:L27" si="94">IFERROR(K25/I25,0)</f>
        <v>0</v>
      </c>
      <c r="M25" s="28">
        <f>SUM(M7:M14)+SUM(M16:M24)</f>
        <v>0</v>
      </c>
      <c r="N25" s="29">
        <f t="shared" si="15"/>
        <v>0</v>
      </c>
      <c r="O25" s="28">
        <f>SUM(O7:O14)+SUM(O16:O24)</f>
        <v>0</v>
      </c>
      <c r="P25" s="28">
        <f>SUM(P7:P14)+SUM(P16:P24)</f>
        <v>0</v>
      </c>
      <c r="Q25" s="28">
        <f>SUM(Q7:Q14)+SUM(Q16:Q24)</f>
        <v>0</v>
      </c>
      <c r="R25" s="29">
        <f t="shared" ref="R25:R27" si="95">IFERROR(Q25/O25,0)</f>
        <v>0</v>
      </c>
      <c r="S25" s="28">
        <f>SUM(S7:S14)+SUM(S16:S24)</f>
        <v>0</v>
      </c>
      <c r="T25" s="29">
        <f t="shared" si="18"/>
        <v>0</v>
      </c>
      <c r="U25" s="28">
        <f>SUM(U7:U14)+SUM(U16:U24)</f>
        <v>0</v>
      </c>
      <c r="V25" s="28">
        <f>SUM(V7:V14)+SUM(V16:V24)</f>
        <v>0</v>
      </c>
      <c r="W25" s="28">
        <f>SUM(W7:W14)+SUM(W16:W24)</f>
        <v>0</v>
      </c>
      <c r="X25" s="29">
        <f t="shared" ref="X25:X27" si="96">IFERROR(W25/U25,0)</f>
        <v>0</v>
      </c>
      <c r="Y25" s="28">
        <f>SUM(Y7:Y14)+SUM(Y16:Y24)</f>
        <v>0</v>
      </c>
      <c r="Z25" s="29">
        <f t="shared" si="20"/>
        <v>0</v>
      </c>
      <c r="AA25" s="28">
        <f>SUM(AA7:AA14)+SUM(AA16:AA24)</f>
        <v>0</v>
      </c>
      <c r="AB25" s="28">
        <f>SUM(AB7:AB14)+SUM(AB16:AB24)</f>
        <v>0</v>
      </c>
      <c r="AC25" s="28">
        <f>SUM(AC7:AC14)+SUM(AC16:AC24)</f>
        <v>0</v>
      </c>
      <c r="AD25" s="29">
        <f t="shared" ref="AD25:AD27" si="97">IFERROR(AC25/AA25,0)</f>
        <v>0</v>
      </c>
      <c r="AE25" s="28">
        <f>SUM(AE7:AE14)+SUM(AE16:AE24)</f>
        <v>0</v>
      </c>
      <c r="AF25" s="29">
        <f t="shared" si="22"/>
        <v>0</v>
      </c>
      <c r="AG25" s="28">
        <f>SUM(AG7:AG14)+SUM(AG16:AG24)</f>
        <v>0</v>
      </c>
      <c r="AH25" s="28">
        <f>SUM(AH7:AH14)+SUM(AH16:AH24)</f>
        <v>0</v>
      </c>
      <c r="AI25" s="28">
        <f>SUM(AI7:AI14)+SUM(AI16:AI24)</f>
        <v>0</v>
      </c>
      <c r="AJ25" s="29">
        <f t="shared" ref="AJ25:AJ27" si="98">IFERROR(AI25/AG25,0)</f>
        <v>0</v>
      </c>
      <c r="AK25" s="28">
        <f>SUM(AK7:AK14)+SUM(AK16:AK24)</f>
        <v>0</v>
      </c>
      <c r="AL25" s="29">
        <f t="shared" si="25"/>
        <v>0</v>
      </c>
      <c r="AM25" s="28">
        <f>SUM(AM7:AM14)+SUM(AM16:AM24)</f>
        <v>0</v>
      </c>
      <c r="AN25" s="28">
        <f>SUM(AN7:AN14)+SUM(AN16:AN24)</f>
        <v>0</v>
      </c>
      <c r="AO25" s="28">
        <f>SUM(AO7:AO14)+SUM(AO16:AO24)</f>
        <v>0</v>
      </c>
      <c r="AP25" s="29">
        <f t="shared" ref="AP25" si="99">IFERROR(AO25/AM25,0)</f>
        <v>0</v>
      </c>
      <c r="AQ25" s="28">
        <f>SUM(AQ7:AQ14)+SUM(AQ16:AQ24)</f>
        <v>0</v>
      </c>
      <c r="AR25" s="29">
        <f t="shared" si="28"/>
        <v>0</v>
      </c>
      <c r="AS25" s="28">
        <f>SUM(AS7:AS14)+SUM(AS16:AS24)</f>
        <v>0</v>
      </c>
      <c r="AT25" s="28">
        <f>SUM(AT7:AT14)+SUM(AT16:AT24)</f>
        <v>0</v>
      </c>
      <c r="AU25" s="28">
        <f>SUM(AU7:AU14)+SUM(AU16:AU24)</f>
        <v>0</v>
      </c>
      <c r="AV25" s="29">
        <f t="shared" ref="AV25" si="100">IFERROR(AU25/AS25,0)</f>
        <v>0</v>
      </c>
      <c r="AW25" s="28">
        <f>SUM(AW7:AW14)+SUM(AW16:AW24)</f>
        <v>0</v>
      </c>
      <c r="AX25" s="29">
        <f>IFERROR(AW25/(C25+I25+O25+U25+AA25+AG25+AM25+AS25),0)</f>
        <v>0</v>
      </c>
      <c r="AY25" s="28">
        <f>SUM(AY7:AY14)+SUM(AY16:AY24)</f>
        <v>0</v>
      </c>
      <c r="AZ25" s="28">
        <f>SUM(AZ7:AZ14)+SUM(AZ16:AZ24)</f>
        <v>0</v>
      </c>
      <c r="BA25" s="53">
        <f t="shared" si="86"/>
        <v>0</v>
      </c>
    </row>
    <row r="26" spans="1:53" ht="15" thickBot="1">
      <c r="A26" s="256" t="s">
        <v>31</v>
      </c>
      <c r="B26" s="257"/>
      <c r="C26" s="17"/>
      <c r="D26" s="32"/>
      <c r="E26" s="18">
        <f>D26-C26</f>
        <v>0</v>
      </c>
      <c r="F26" s="15">
        <f t="shared" ref="F26" si="101">IF(AND(C26=0,D26=0),0,IFERROR(E26/C26,"Variance"))</f>
        <v>0</v>
      </c>
      <c r="G26" s="18">
        <f>E26</f>
        <v>0</v>
      </c>
      <c r="H26" s="19">
        <f>IFERROR(G26/(C26),0)</f>
        <v>0</v>
      </c>
      <c r="I26" s="17"/>
      <c r="J26" s="32"/>
      <c r="K26" s="18">
        <f>J26-I26</f>
        <v>0</v>
      </c>
      <c r="L26" s="15">
        <f t="shared" si="73"/>
        <v>0</v>
      </c>
      <c r="M26" s="14">
        <f>K26+G26</f>
        <v>0</v>
      </c>
      <c r="N26" s="19">
        <f t="shared" si="15"/>
        <v>0</v>
      </c>
      <c r="O26" s="17"/>
      <c r="P26" s="32"/>
      <c r="Q26" s="18">
        <f>P26-O26</f>
        <v>0</v>
      </c>
      <c r="R26" s="15">
        <f t="shared" ref="R26" si="102">IF(AND(O26=0,P26=0),0,IFERROR(Q26/O26,"Variance"))</f>
        <v>0</v>
      </c>
      <c r="S26" s="18">
        <f>M26+Q26</f>
        <v>0</v>
      </c>
      <c r="T26" s="20">
        <f t="shared" si="18"/>
        <v>0</v>
      </c>
      <c r="U26" s="17"/>
      <c r="V26" s="32"/>
      <c r="W26" s="18">
        <f>V26-U26</f>
        <v>0</v>
      </c>
      <c r="X26" s="15">
        <f t="shared" ref="X26" si="103">IF(AND(U26=0,V26=0),0,IFERROR(W26/U26,"Variance"))</f>
        <v>0</v>
      </c>
      <c r="Y26" s="18">
        <f>S26+W26</f>
        <v>0</v>
      </c>
      <c r="Z26" s="20">
        <f t="shared" si="20"/>
        <v>0</v>
      </c>
      <c r="AA26" s="17"/>
      <c r="AB26" s="32"/>
      <c r="AC26" s="18">
        <f>AB26-AA26</f>
        <v>0</v>
      </c>
      <c r="AD26" s="15">
        <f t="shared" ref="AD26" si="104">IF(AND(AA26=0,AB26=0),0,IFERROR(AC26/AA26,"Variance"))</f>
        <v>0</v>
      </c>
      <c r="AE26" s="18">
        <f>Y26+AC26</f>
        <v>0</v>
      </c>
      <c r="AF26" s="19">
        <f t="shared" si="22"/>
        <v>0</v>
      </c>
      <c r="AG26" s="17"/>
      <c r="AH26" s="32"/>
      <c r="AI26" s="21">
        <f>AH26-AG26</f>
        <v>0</v>
      </c>
      <c r="AJ26" s="15">
        <f>IF(AND(AG26=0,AH26=0),0,IFERROR(AI26/AG26,"Variance"))</f>
        <v>0</v>
      </c>
      <c r="AK26" s="18">
        <f>AE26+AI26</f>
        <v>0</v>
      </c>
      <c r="AL26" s="20">
        <f t="shared" si="25"/>
        <v>0</v>
      </c>
      <c r="AM26" s="17"/>
      <c r="AN26" s="32"/>
      <c r="AO26" s="21">
        <f>AN26-AM26</f>
        <v>0</v>
      </c>
      <c r="AP26" s="15">
        <f>IF(AND(AM26=0,AN26=0),0,IFERROR(AO26/AM26,"Variance"))</f>
        <v>0</v>
      </c>
      <c r="AQ26" s="18">
        <f>AK26+AO26</f>
        <v>0</v>
      </c>
      <c r="AR26" s="16">
        <f t="shared" si="28"/>
        <v>0</v>
      </c>
      <c r="AS26" s="17"/>
      <c r="AT26" s="32"/>
      <c r="AU26" s="21">
        <f>AT26-AS26</f>
        <v>0</v>
      </c>
      <c r="AV26" s="15">
        <f>IF(AND(AS26=0,AT26=0),0,IFERROR(AU26/AS26,"Variance"))</f>
        <v>0</v>
      </c>
      <c r="AW26" s="18">
        <f>AQ26+AU26</f>
        <v>0</v>
      </c>
      <c r="AX26" s="20">
        <f t="shared" si="31"/>
        <v>0</v>
      </c>
      <c r="AY26" s="27">
        <f>C26+I26+O26+U26+AA26+AG26+AM26+AS26</f>
        <v>0</v>
      </c>
      <c r="AZ26" s="51">
        <f t="shared" ref="AZ26" si="105">D26+J26+P26+V26+AB26+AH26+AN26+AT26</f>
        <v>0</v>
      </c>
      <c r="BA26" s="53">
        <f t="shared" si="86"/>
        <v>0</v>
      </c>
    </row>
    <row r="27" spans="1:53">
      <c r="A27" s="258" t="s">
        <v>32</v>
      </c>
      <c r="B27" s="250"/>
      <c r="C27" s="22">
        <f>C25+C26</f>
        <v>0</v>
      </c>
      <c r="D27" s="22">
        <f>D25+D26</f>
        <v>0</v>
      </c>
      <c r="E27" s="23">
        <f>D27-C27</f>
        <v>0</v>
      </c>
      <c r="F27" s="24">
        <f t="shared" ref="F27" si="106">IFERROR(E27/C27,0)</f>
        <v>0</v>
      </c>
      <c r="G27" s="23">
        <f>E27</f>
        <v>0</v>
      </c>
      <c r="H27" s="24">
        <f>IFERROR(G27/(C27),0)</f>
        <v>0</v>
      </c>
      <c r="I27" s="22">
        <f>I25+I26</f>
        <v>0</v>
      </c>
      <c r="J27" s="22">
        <f>J25+J26</f>
        <v>0</v>
      </c>
      <c r="K27" s="23">
        <f>J27-I27</f>
        <v>0</v>
      </c>
      <c r="L27" s="24">
        <f t="shared" si="94"/>
        <v>0</v>
      </c>
      <c r="M27" s="23">
        <f>K27+G27</f>
        <v>0</v>
      </c>
      <c r="N27" s="24">
        <f t="shared" si="15"/>
        <v>0</v>
      </c>
      <c r="O27" s="22">
        <f>O25+O26</f>
        <v>0</v>
      </c>
      <c r="P27" s="22">
        <f>P25+P26</f>
        <v>0</v>
      </c>
      <c r="Q27" s="23">
        <f>P27-O27</f>
        <v>0</v>
      </c>
      <c r="R27" s="24">
        <f t="shared" si="95"/>
        <v>0</v>
      </c>
      <c r="S27" s="23">
        <f>M27+Q27</f>
        <v>0</v>
      </c>
      <c r="T27" s="24">
        <f t="shared" si="18"/>
        <v>0</v>
      </c>
      <c r="U27" s="22">
        <f>U25+U26</f>
        <v>0</v>
      </c>
      <c r="V27" s="22">
        <f>V25+V26</f>
        <v>0</v>
      </c>
      <c r="W27" s="23">
        <f>V27-U27</f>
        <v>0</v>
      </c>
      <c r="X27" s="24">
        <f t="shared" si="96"/>
        <v>0</v>
      </c>
      <c r="Y27" s="23">
        <f>S27+W27</f>
        <v>0</v>
      </c>
      <c r="Z27" s="24">
        <f t="shared" si="20"/>
        <v>0</v>
      </c>
      <c r="AA27" s="22">
        <f>AA25+AA26</f>
        <v>0</v>
      </c>
      <c r="AB27" s="22">
        <f>AB25+AB26</f>
        <v>0</v>
      </c>
      <c r="AC27" s="23">
        <f>AB27-AA27</f>
        <v>0</v>
      </c>
      <c r="AD27" s="24">
        <f t="shared" si="97"/>
        <v>0</v>
      </c>
      <c r="AE27" s="23">
        <f>Y27+AC27</f>
        <v>0</v>
      </c>
      <c r="AF27" s="24">
        <f t="shared" si="22"/>
        <v>0</v>
      </c>
      <c r="AG27" s="22">
        <f>AG25+AG26</f>
        <v>0</v>
      </c>
      <c r="AH27" s="22">
        <f>AH25+AH26</f>
        <v>0</v>
      </c>
      <c r="AI27" s="22">
        <f>AH27-AG27</f>
        <v>0</v>
      </c>
      <c r="AJ27" s="22">
        <f t="shared" si="98"/>
        <v>0</v>
      </c>
      <c r="AK27" s="22">
        <f>AE27+AI27</f>
        <v>0</v>
      </c>
      <c r="AL27" s="22">
        <f t="shared" si="25"/>
        <v>0</v>
      </c>
      <c r="AM27" s="22">
        <f>AM25+AM26</f>
        <v>0</v>
      </c>
      <c r="AN27" s="22">
        <f>AN25+AN26</f>
        <v>0</v>
      </c>
      <c r="AO27" s="22">
        <f>AN27-AM27</f>
        <v>0</v>
      </c>
      <c r="AP27" s="22">
        <f t="shared" ref="AP27" si="107">IFERROR(AO27/AM27,0)</f>
        <v>0</v>
      </c>
      <c r="AQ27" s="22">
        <f>AK27+AO27</f>
        <v>0</v>
      </c>
      <c r="AR27" s="22">
        <f t="shared" si="28"/>
        <v>0</v>
      </c>
      <c r="AS27" s="22">
        <f>AS25+AS26</f>
        <v>0</v>
      </c>
      <c r="AT27" s="22">
        <f>AT25+AT26</f>
        <v>0</v>
      </c>
      <c r="AU27" s="22">
        <f>AT27-AS27</f>
        <v>0</v>
      </c>
      <c r="AV27" s="22">
        <f t="shared" ref="AV27" si="108">IFERROR(AU27/AS27,0)</f>
        <v>0</v>
      </c>
      <c r="AW27" s="22">
        <f>AQ27+AU27</f>
        <v>0</v>
      </c>
      <c r="AX27" s="22">
        <f t="shared" si="31"/>
        <v>0</v>
      </c>
      <c r="AY27" s="119">
        <f>AY25+AY26</f>
        <v>0</v>
      </c>
      <c r="AZ27" s="120">
        <f>AZ25+AZ26</f>
        <v>0</v>
      </c>
      <c r="BA27" s="53">
        <f t="shared" si="86"/>
        <v>0</v>
      </c>
    </row>
  </sheetData>
  <mergeCells count="25">
    <mergeCell ref="K1:L1"/>
    <mergeCell ref="AY5:AZ5"/>
    <mergeCell ref="AA5:AF5"/>
    <mergeCell ref="A5:B5"/>
    <mergeCell ref="I5:N5"/>
    <mergeCell ref="O5:T5"/>
    <mergeCell ref="U5:Z5"/>
    <mergeCell ref="AG5:AL5"/>
    <mergeCell ref="B2:L2"/>
    <mergeCell ref="E1:F1"/>
    <mergeCell ref="C5:H5"/>
    <mergeCell ref="AM5:AR5"/>
    <mergeCell ref="AS5:AX5"/>
    <mergeCell ref="A16:B16"/>
    <mergeCell ref="A17:B17"/>
    <mergeCell ref="A19:B19"/>
    <mergeCell ref="A26:B26"/>
    <mergeCell ref="A27:B27"/>
    <mergeCell ref="A18:B18"/>
    <mergeCell ref="A20:B20"/>
    <mergeCell ref="A21:B21"/>
    <mergeCell ref="A22:B22"/>
    <mergeCell ref="A25:B25"/>
    <mergeCell ref="A23:B23"/>
    <mergeCell ref="A24:B24"/>
  </mergeCells>
  <phoneticPr fontId="34"/>
  <conditionalFormatting sqref="C7:D14">
    <cfRule type="cellIs" dxfId="116" priority="14" operator="notBetween">
      <formula>0</formula>
      <formula>1000000</formula>
    </cfRule>
  </conditionalFormatting>
  <conditionalFormatting sqref="C16:D24">
    <cfRule type="cellIs" dxfId="115" priority="12" operator="notBetween">
      <formula>0</formula>
      <formula>1000000</formula>
    </cfRule>
  </conditionalFormatting>
  <conditionalFormatting sqref="C26:D27">
    <cfRule type="cellIs" dxfId="114" priority="9" operator="notBetween">
      <formula>0</formula>
      <formula>1000000</formula>
    </cfRule>
  </conditionalFormatting>
  <conditionalFormatting sqref="I7:J14">
    <cfRule type="cellIs" dxfId="113" priority="35" operator="notBetween">
      <formula>0</formula>
      <formula>1000000</formula>
    </cfRule>
  </conditionalFormatting>
  <conditionalFormatting sqref="I16:J24">
    <cfRule type="cellIs" dxfId="112" priority="30" operator="notBetween">
      <formula>0</formula>
      <formula>1000000</formula>
    </cfRule>
  </conditionalFormatting>
  <conditionalFormatting sqref="I26:J27">
    <cfRule type="cellIs" dxfId="111" priority="20" operator="notBetween">
      <formula>0</formula>
      <formula>1000000</formula>
    </cfRule>
  </conditionalFormatting>
  <conditionalFormatting sqref="O26:P27">
    <cfRule type="cellIs" dxfId="110" priority="19" operator="notBetween">
      <formula>0</formula>
      <formula>1000000</formula>
    </cfRule>
  </conditionalFormatting>
  <conditionalFormatting sqref="P7:P14">
    <cfRule type="cellIs" dxfId="109" priority="38" operator="notBetween">
      <formula>0</formula>
      <formula>1000000</formula>
    </cfRule>
  </conditionalFormatting>
  <conditionalFormatting sqref="P16:P24">
    <cfRule type="cellIs" dxfId="108" priority="33" operator="notBetween">
      <formula>0</formula>
      <formula>1000000</formula>
    </cfRule>
  </conditionalFormatting>
  <conditionalFormatting sqref="U26:V27">
    <cfRule type="cellIs" dxfId="107" priority="18" operator="notBetween">
      <formula>0</formula>
      <formula>1000000</formula>
    </cfRule>
  </conditionalFormatting>
  <conditionalFormatting sqref="V7:V14">
    <cfRule type="cellIs" dxfId="106" priority="37" operator="notBetween">
      <formula>0</formula>
      <formula>1000000</formula>
    </cfRule>
  </conditionalFormatting>
  <conditionalFormatting sqref="V16:V24">
    <cfRule type="cellIs" dxfId="105" priority="32" operator="notBetween">
      <formula>0</formula>
      <formula>1000000</formula>
    </cfRule>
  </conditionalFormatting>
  <conditionalFormatting sqref="AA26:AB27">
    <cfRule type="cellIs" dxfId="104" priority="17" operator="notBetween">
      <formula>0</formula>
      <formula>1000000</formula>
    </cfRule>
  </conditionalFormatting>
  <conditionalFormatting sqref="AB7:AB14">
    <cfRule type="cellIs" dxfId="103" priority="36" operator="notBetween">
      <formula>0</formula>
      <formula>1000000</formula>
    </cfRule>
  </conditionalFormatting>
  <conditionalFormatting sqref="AB16:AB24">
    <cfRule type="cellIs" dxfId="102" priority="31" operator="notBetween">
      <formula>0</formula>
      <formula>1000000</formula>
    </cfRule>
  </conditionalFormatting>
  <conditionalFormatting sqref="AG26:AH26">
    <cfRule type="cellIs" dxfId="101" priority="16" operator="notBetween">
      <formula>0</formula>
      <formula>1000000</formula>
    </cfRule>
  </conditionalFormatting>
  <conditionalFormatting sqref="AG27:AX27">
    <cfRule type="cellIs" dxfId="100" priority="2" operator="notBetween">
      <formula>0</formula>
      <formula>1000000</formula>
    </cfRule>
  </conditionalFormatting>
  <conditionalFormatting sqref="AH7">
    <cfRule type="cellIs" dxfId="99" priority="29" operator="notBetween">
      <formula>0</formula>
      <formula>1000000</formula>
    </cfRule>
  </conditionalFormatting>
  <conditionalFormatting sqref="AM26:AN26">
    <cfRule type="cellIs" dxfId="98" priority="5" operator="notBetween">
      <formula>0</formula>
      <formula>1000000</formula>
    </cfRule>
  </conditionalFormatting>
  <conditionalFormatting sqref="AN7">
    <cfRule type="cellIs" dxfId="97" priority="8" operator="notBetween">
      <formula>0</formula>
      <formula>1000000</formula>
    </cfRule>
  </conditionalFormatting>
  <conditionalFormatting sqref="AS26:AT26">
    <cfRule type="cellIs" dxfId="96" priority="1" operator="notBetween">
      <formula>0</formula>
      <formula>1000000</formula>
    </cfRule>
  </conditionalFormatting>
  <conditionalFormatting sqref="AT7">
    <cfRule type="cellIs" dxfId="95" priority="4" operator="notBetween">
      <formula>0</formula>
      <formula>1000000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A4177-747B-4018-B65D-3798AF36A02E}">
  <dimension ref="B1:Z85"/>
  <sheetViews>
    <sheetView tabSelected="1" topLeftCell="D50" zoomScale="90" zoomScaleNormal="90" workbookViewId="0">
      <selection activeCell="T74" sqref="T74"/>
    </sheetView>
  </sheetViews>
  <sheetFormatPr baseColWidth="10" defaultColWidth="9.140625" defaultRowHeight="15"/>
  <cols>
    <col min="1" max="1" width="2.85546875" customWidth="1"/>
    <col min="3" max="3" width="75" customWidth="1"/>
    <col min="4" max="4" width="18.28515625" customWidth="1"/>
    <col min="5" max="5" width="20.140625" customWidth="1"/>
    <col min="6" max="6" width="18.28515625" bestFit="1" customWidth="1"/>
    <col min="7" max="10" width="28.28515625" hidden="1" customWidth="1"/>
    <col min="11" max="11" width="16.42578125" style="88" hidden="1" customWidth="1"/>
    <col min="12" max="14" width="18" hidden="1" customWidth="1"/>
    <col min="15" max="15" width="22" customWidth="1"/>
    <col min="16" max="16" width="31.42578125" customWidth="1"/>
    <col min="17" max="17" width="11.85546875" customWidth="1"/>
    <col min="18" max="18" width="29.85546875" customWidth="1"/>
    <col min="19" max="19" width="29.140625" customWidth="1"/>
    <col min="20" max="20" width="30.42578125" customWidth="1"/>
    <col min="21" max="21" width="14.28515625" customWidth="1"/>
    <col min="22" max="22" width="44.28515625" customWidth="1"/>
    <col min="23" max="23" width="32.42578125" customWidth="1"/>
    <col min="24" max="25" width="47.42578125" hidden="1" customWidth="1"/>
    <col min="26" max="26" width="34.42578125" customWidth="1"/>
  </cols>
  <sheetData>
    <row r="1" spans="2:26" ht="17.45" customHeight="1"/>
    <row r="2" spans="2:26" s="2" customFormat="1" ht="25.5" customHeight="1">
      <c r="B2" s="86"/>
      <c r="C2" s="121" t="s">
        <v>93</v>
      </c>
      <c r="D2" s="121"/>
      <c r="E2" s="121"/>
      <c r="F2" s="121"/>
      <c r="K2" s="89"/>
    </row>
    <row r="3" spans="2:26" ht="24.6" customHeight="1"/>
    <row r="4" spans="2:26" ht="48" customHeight="1">
      <c r="B4" s="57" t="s">
        <v>94</v>
      </c>
      <c r="C4" s="57" t="s">
        <v>95</v>
      </c>
      <c r="D4" s="57" t="s">
        <v>96</v>
      </c>
      <c r="E4" s="57" t="s">
        <v>97</v>
      </c>
      <c r="F4" s="57" t="s">
        <v>98</v>
      </c>
      <c r="G4" s="57" t="s">
        <v>99</v>
      </c>
      <c r="H4" s="57" t="s">
        <v>100</v>
      </c>
      <c r="I4" s="57" t="s">
        <v>101</v>
      </c>
      <c r="J4" s="57" t="s">
        <v>102</v>
      </c>
      <c r="K4" s="57" t="s">
        <v>103</v>
      </c>
      <c r="L4" s="57" t="s">
        <v>104</v>
      </c>
      <c r="M4" s="57" t="s">
        <v>105</v>
      </c>
      <c r="N4" s="57" t="s">
        <v>106</v>
      </c>
      <c r="O4" s="57" t="s">
        <v>107</v>
      </c>
      <c r="P4" s="57" t="s">
        <v>108</v>
      </c>
      <c r="Q4" s="57" t="s">
        <v>109</v>
      </c>
      <c r="R4" s="57" t="s">
        <v>110</v>
      </c>
      <c r="S4" s="57" t="s">
        <v>111</v>
      </c>
      <c r="T4" s="57" t="s">
        <v>76</v>
      </c>
      <c r="U4" s="132" t="s">
        <v>112</v>
      </c>
      <c r="V4" s="151" t="s">
        <v>113</v>
      </c>
      <c r="W4" s="151" t="s">
        <v>114</v>
      </c>
      <c r="X4" s="151" t="s">
        <v>115</v>
      </c>
      <c r="Y4" s="151" t="s">
        <v>115</v>
      </c>
      <c r="Z4" s="151" t="s">
        <v>114</v>
      </c>
    </row>
    <row r="5" spans="2:26" ht="24.95" customHeight="1">
      <c r="B5" s="56" t="s">
        <v>116</v>
      </c>
      <c r="C5" s="56" t="s">
        <v>117</v>
      </c>
      <c r="D5" s="122" t="s">
        <v>118</v>
      </c>
      <c r="E5" s="122"/>
      <c r="F5" s="125">
        <v>6900</v>
      </c>
      <c r="G5" s="55">
        <v>0</v>
      </c>
      <c r="H5" s="55">
        <v>1037.4607972459701</v>
      </c>
      <c r="I5" s="55">
        <v>0</v>
      </c>
      <c r="J5" s="55">
        <v>3348.670487328789</v>
      </c>
      <c r="K5" s="90">
        <v>0</v>
      </c>
      <c r="L5" s="55">
        <f>Table1[[#This Row],[Total direct expenditure Q1
(GBP)]]*Table1[[#This Row],[Overhead %]]</f>
        <v>0</v>
      </c>
      <c r="M5" s="55">
        <f>+Table1[[#This Row],[Total direct expenditure Q2
(GBP)2]]*Table1[[#This Row],[Overhead %]]</f>
        <v>0</v>
      </c>
      <c r="N5" s="55">
        <f>+Table1[[#This Row],[Total direct expenditure Q3
(GBP)3]]*Table1[[#This Row],[Overhead %]]</f>
        <v>0</v>
      </c>
      <c r="O5" s="55">
        <f>Table1[[#This Row],[Total direct expenditure Q1
(GBP)]]+Table1[[#This Row],[Overhead Q1 total]]</f>
        <v>0</v>
      </c>
      <c r="P5" s="55">
        <f>+Table1[[#This Row],[Total direct expenditure Q2
(GBP)2]]+Table1[[#This Row],[Overhead Q2 total2]]</f>
        <v>1037.4607972459701</v>
      </c>
      <c r="Q5" s="59">
        <f>+Table1[[#This Row],[Total direct expenditure Q3
(GBP)3]]+Table1[[#This Row],[Overhead Q3 total3]]</f>
        <v>0</v>
      </c>
      <c r="R5" s="59">
        <f>+Table1[[#This Row],[Total direct expenditure Q4
(GBP)4]]</f>
        <v>3348.670487328789</v>
      </c>
      <c r="S5" s="59">
        <f>+Table1[[#This Row],[Actual total expenditure (Dec2023) Q1]]+Table1[[#This Row],[Actual total expenditure (Mar2024) Q2]]+Table1[[#This Row],[Actual total expenditure (Jun2024) Q3]]+Table1[[#This Row],[Actual total expenditure (Sep2024) Q4]]</f>
        <v>4386.1312845747589</v>
      </c>
      <c r="T5" s="59">
        <f>+Table1[[#This Row],[Planned total expenditure
(GBP)]]-Table1[[#This Row],[Total expenditure Q1+Q2+Q3+Q4]]</f>
        <v>2513.8687154252411</v>
      </c>
      <c r="U5" s="149">
        <f>S5/F5</f>
        <v>0.63567120066300853</v>
      </c>
      <c r="V5" s="145" t="s">
        <v>332</v>
      </c>
      <c r="W5" s="145" t="s">
        <v>119</v>
      </c>
      <c r="X5" s="55"/>
      <c r="Y5" s="55"/>
      <c r="Z5" s="194" t="s">
        <v>319</v>
      </c>
    </row>
    <row r="6" spans="2:26" ht="24.6" customHeight="1">
      <c r="B6" s="56" t="s">
        <v>120</v>
      </c>
      <c r="C6" s="56" t="s">
        <v>121</v>
      </c>
      <c r="D6" s="122" t="s">
        <v>118</v>
      </c>
      <c r="E6" s="122"/>
      <c r="F6" s="125">
        <v>6210</v>
      </c>
      <c r="G6" s="55">
        <v>0</v>
      </c>
      <c r="H6" s="55">
        <v>4740.3427860377151</v>
      </c>
      <c r="I6" s="55">
        <v>0</v>
      </c>
      <c r="J6" s="55">
        <v>1735.8674376736128</v>
      </c>
      <c r="K6" s="90">
        <v>0</v>
      </c>
      <c r="L6" s="55">
        <f>Table1[[#This Row],[Total direct expenditure Q1
(GBP)]]*Table1[[#This Row],[Overhead %]]</f>
        <v>0</v>
      </c>
      <c r="M6" s="55">
        <f>+Table1[[#This Row],[Total direct expenditure Q2
(GBP)2]]*Table1[[#This Row],[Overhead %]]</f>
        <v>0</v>
      </c>
      <c r="N6" s="55">
        <f>+Table1[[#This Row],[Total direct expenditure Q3
(GBP)3]]*Table1[[#This Row],[Overhead %]]</f>
        <v>0</v>
      </c>
      <c r="O6" s="55">
        <f>Table1[[#This Row],[Total direct expenditure Q1
(GBP)]]+Table1[[#This Row],[Overhead Q1 total]]</f>
        <v>0</v>
      </c>
      <c r="P6" s="55">
        <f>+Table1[[#This Row],[Total direct expenditure Q2
(GBP)2]]+Table1[[#This Row],[Overhead Q2 total2]]</f>
        <v>4740.3427860377151</v>
      </c>
      <c r="Q6" s="59">
        <f>+Table1[[#This Row],[Total direct expenditure Q3
(GBP)3]]+Table1[[#This Row],[Overhead Q3 total3]]</f>
        <v>0</v>
      </c>
      <c r="R6" s="59">
        <f>+Table1[[#This Row],[Total direct expenditure Q4
(GBP)4]]</f>
        <v>1735.8674376736128</v>
      </c>
      <c r="S6" s="59">
        <f>+Table1[[#This Row],[Actual total expenditure (Dec2023) Q1]]+Table1[[#This Row],[Actual total expenditure (Mar2024) Q2]]+Table1[[#This Row],[Actual total expenditure (Jun2024) Q3]]+Table1[[#This Row],[Actual total expenditure (Sep2024) Q4]]</f>
        <v>6476.2102237113277</v>
      </c>
      <c r="T6" s="59">
        <f>+Table1[[#This Row],[Planned total expenditure
(GBP)]]-Table1[[#This Row],[Total expenditure Q1+Q2+Q3+Q4]]</f>
        <v>-266.21022371132767</v>
      </c>
      <c r="U6" s="149">
        <f>S6/F6</f>
        <v>1.0428679909358016</v>
      </c>
      <c r="V6" s="55"/>
      <c r="W6" s="55"/>
      <c r="X6" s="55"/>
      <c r="Y6" s="55"/>
      <c r="Z6" s="186"/>
    </row>
    <row r="7" spans="2:26">
      <c r="B7" s="56" t="s">
        <v>122</v>
      </c>
      <c r="C7" s="56" t="s">
        <v>123</v>
      </c>
      <c r="D7" s="155" t="s">
        <v>118</v>
      </c>
      <c r="E7" s="122"/>
      <c r="F7" s="125">
        <v>4830</v>
      </c>
      <c r="G7" s="55">
        <v>0</v>
      </c>
      <c r="H7" s="55">
        <v>3436.3422047813979</v>
      </c>
      <c r="I7" s="55">
        <v>1483.519685776402</v>
      </c>
      <c r="J7" s="55">
        <v>117.375018727344</v>
      </c>
      <c r="K7" s="90">
        <v>0</v>
      </c>
      <c r="L7" s="55">
        <f>Table1[[#This Row],[Total direct expenditure Q1
(GBP)]]*Table1[[#This Row],[Overhead %]]</f>
        <v>0</v>
      </c>
      <c r="M7" s="55">
        <f>+Table1[[#This Row],[Total direct expenditure Q2
(GBP)2]]*Table1[[#This Row],[Overhead %]]</f>
        <v>0</v>
      </c>
      <c r="N7" s="55">
        <f>+Table1[[#This Row],[Total direct expenditure Q3
(GBP)3]]*Table1[[#This Row],[Overhead %]]</f>
        <v>0</v>
      </c>
      <c r="O7" s="55">
        <f>Table1[[#This Row],[Total direct expenditure Q1
(GBP)]]+Table1[[#This Row],[Overhead Q1 total]]</f>
        <v>0</v>
      </c>
      <c r="P7" s="55">
        <f>+Table1[[#This Row],[Total direct expenditure Q2
(GBP)2]]+Table1[[#This Row],[Overhead Q2 total2]]</f>
        <v>3436.3422047813979</v>
      </c>
      <c r="Q7" s="59">
        <f>+Table1[[#This Row],[Total direct expenditure Q3
(GBP)3]]+Table1[[#This Row],[Overhead Q3 total3]]</f>
        <v>1483.519685776402</v>
      </c>
      <c r="R7" s="59">
        <f>+Table1[[#This Row],[Total direct expenditure Q4
(GBP)4]]</f>
        <v>117.375018727344</v>
      </c>
      <c r="S7" s="59">
        <f>+Table1[[#This Row],[Actual total expenditure (Dec2023) Q1]]+Table1[[#This Row],[Actual total expenditure (Mar2024) Q2]]+Table1[[#This Row],[Actual total expenditure (Jun2024) Q3]]+Table1[[#This Row],[Actual total expenditure (Sep2024) Q4]]</f>
        <v>5037.2369092851432</v>
      </c>
      <c r="T7" s="59">
        <f>+Table1[[#This Row],[Planned total expenditure
(GBP)]]-Table1[[#This Row],[Total expenditure Q1+Q2+Q3+Q4]]</f>
        <v>-207.23690928514316</v>
      </c>
      <c r="U7" s="150">
        <f>S7/F7</f>
        <v>1.0429061923985803</v>
      </c>
      <c r="V7" s="152"/>
      <c r="W7" s="145"/>
      <c r="X7" s="55"/>
      <c r="Y7" s="55"/>
      <c r="Z7" s="186"/>
    </row>
    <row r="8" spans="2:26" ht="24.6" customHeight="1">
      <c r="B8" s="56" t="s">
        <v>124</v>
      </c>
      <c r="C8" s="56" t="s">
        <v>125</v>
      </c>
      <c r="D8" s="122" t="s">
        <v>118</v>
      </c>
      <c r="E8" s="122"/>
      <c r="F8" s="125">
        <v>4830</v>
      </c>
      <c r="G8" s="55">
        <v>0</v>
      </c>
      <c r="H8" s="55">
        <v>3436.3422047813979</v>
      </c>
      <c r="I8" s="55">
        <v>0</v>
      </c>
      <c r="J8" s="55">
        <v>1600.6805718082039</v>
      </c>
      <c r="K8" s="90">
        <v>0</v>
      </c>
      <c r="L8" s="55">
        <f>Table1[[#This Row],[Total direct expenditure Q1
(GBP)]]*Table1[[#This Row],[Overhead %]]</f>
        <v>0</v>
      </c>
      <c r="M8" s="55">
        <f>+Table1[[#This Row],[Total direct expenditure Q2
(GBP)2]]*Table1[[#This Row],[Overhead %]]</f>
        <v>0</v>
      </c>
      <c r="N8" s="55">
        <f>+Table1[[#This Row],[Total direct expenditure Q3
(GBP)3]]*Table1[[#This Row],[Overhead %]]</f>
        <v>0</v>
      </c>
      <c r="O8" s="55">
        <f>Table1[[#This Row],[Total direct expenditure Q1
(GBP)]]+Table1[[#This Row],[Overhead Q1 total]]</f>
        <v>0</v>
      </c>
      <c r="P8" s="55">
        <f>+Table1[[#This Row],[Total direct expenditure Q2
(GBP)2]]+Table1[[#This Row],[Overhead Q2 total2]]</f>
        <v>3436.3422047813979</v>
      </c>
      <c r="Q8" s="59">
        <f>+Table1[[#This Row],[Total direct expenditure Q3
(GBP)3]]+Table1[[#This Row],[Overhead Q3 total3]]</f>
        <v>0</v>
      </c>
      <c r="R8" s="59">
        <f>+Table1[[#This Row],[Total direct expenditure Q4
(GBP)4]]</f>
        <v>1600.6805718082039</v>
      </c>
      <c r="S8" s="59">
        <f>+Table1[[#This Row],[Actual total expenditure (Dec2023) Q1]]+Table1[[#This Row],[Actual total expenditure (Mar2024) Q2]]+Table1[[#This Row],[Actual total expenditure (Jun2024) Q3]]+Table1[[#This Row],[Actual total expenditure (Sep2024) Q4]]</f>
        <v>5037.0227765896016</v>
      </c>
      <c r="T8" s="59">
        <f>+Table1[[#This Row],[Planned total expenditure
(GBP)]]-Table1[[#This Row],[Total expenditure Q1+Q2+Q3+Q4]]</f>
        <v>-207.02277658960156</v>
      </c>
      <c r="U8" s="149">
        <f t="shared" ref="U8:U45" si="0">S8/F8</f>
        <v>1.0428618585071638</v>
      </c>
      <c r="V8" s="55"/>
      <c r="W8" s="55"/>
      <c r="X8" s="55"/>
      <c r="Y8" s="55"/>
      <c r="Z8" s="186"/>
    </row>
    <row r="9" spans="2:26" ht="24.6" customHeight="1">
      <c r="B9" s="56" t="s">
        <v>126</v>
      </c>
      <c r="C9" s="56" t="s">
        <v>127</v>
      </c>
      <c r="D9" s="122" t="s">
        <v>118</v>
      </c>
      <c r="E9" s="122"/>
      <c r="F9" s="125">
        <v>4830</v>
      </c>
      <c r="G9" s="55">
        <v>0</v>
      </c>
      <c r="H9" s="55">
        <v>2370.1713930188575</v>
      </c>
      <c r="I9" s="55">
        <v>0</v>
      </c>
      <c r="J9" s="55">
        <v>2666.6941952579059</v>
      </c>
      <c r="K9" s="90">
        <v>0</v>
      </c>
      <c r="L9" s="55">
        <f>Table1[[#This Row],[Total direct expenditure Q1
(GBP)]]*Table1[[#This Row],[Overhead %]]</f>
        <v>0</v>
      </c>
      <c r="M9" s="55">
        <f>+Table1[[#This Row],[Total direct expenditure Q2
(GBP)2]]*Table1[[#This Row],[Overhead %]]</f>
        <v>0</v>
      </c>
      <c r="N9" s="55">
        <f>+Table1[[#This Row],[Total direct expenditure Q3
(GBP)3]]*Table1[[#This Row],[Overhead %]]</f>
        <v>0</v>
      </c>
      <c r="O9" s="55">
        <f>Table1[[#This Row],[Total direct expenditure Q1
(GBP)]]+Table1[[#This Row],[Overhead Q1 total]]</f>
        <v>0</v>
      </c>
      <c r="P9" s="55">
        <f>+Table1[[#This Row],[Total direct expenditure Q2
(GBP)2]]+Table1[[#This Row],[Overhead Q2 total2]]</f>
        <v>2370.1713930188575</v>
      </c>
      <c r="Q9" s="59">
        <f>+Table1[[#This Row],[Total direct expenditure Q3
(GBP)3]]+Table1[[#This Row],[Overhead Q3 total3]]</f>
        <v>0</v>
      </c>
      <c r="R9" s="59">
        <f>+Table1[[#This Row],[Total direct expenditure Q4
(GBP)4]]</f>
        <v>2666.6941952579059</v>
      </c>
      <c r="S9" s="59">
        <f>+Table1[[#This Row],[Actual total expenditure (Dec2023) Q1]]+Table1[[#This Row],[Actual total expenditure (Mar2024) Q2]]+Table1[[#This Row],[Actual total expenditure (Jun2024) Q3]]+Table1[[#This Row],[Actual total expenditure (Sep2024) Q4]]</f>
        <v>5036.8655882767634</v>
      </c>
      <c r="T9" s="59">
        <f>+Table1[[#This Row],[Planned total expenditure
(GBP)]]-Table1[[#This Row],[Total expenditure Q1+Q2+Q3+Q4]]</f>
        <v>-206.86558827676345</v>
      </c>
      <c r="U9" s="149">
        <f t="shared" si="0"/>
        <v>1.0428293143430152</v>
      </c>
      <c r="V9" s="55"/>
      <c r="W9" s="55"/>
      <c r="X9" s="55"/>
      <c r="Y9" s="55"/>
      <c r="Z9" s="186"/>
    </row>
    <row r="10" spans="2:26" ht="26.1" customHeight="1">
      <c r="B10" s="56" t="s">
        <v>128</v>
      </c>
      <c r="C10" s="56" t="s">
        <v>129</v>
      </c>
      <c r="D10" s="122" t="s">
        <v>118</v>
      </c>
      <c r="E10" s="122"/>
      <c r="F10" s="125">
        <v>4830</v>
      </c>
      <c r="G10" s="55">
        <v>0</v>
      </c>
      <c r="H10" s="55">
        <v>592.54284825471439</v>
      </c>
      <c r="I10" s="55">
        <v>0</v>
      </c>
      <c r="J10" s="55">
        <v>2016.2541225103832</v>
      </c>
      <c r="K10" s="90">
        <v>0</v>
      </c>
      <c r="L10" s="55">
        <f>Table1[[#This Row],[Total direct expenditure Q1
(GBP)]]*Table1[[#This Row],[Overhead %]]</f>
        <v>0</v>
      </c>
      <c r="M10" s="55">
        <f>+Table1[[#This Row],[Total direct expenditure Q2
(GBP)2]]*Table1[[#This Row],[Overhead %]]</f>
        <v>0</v>
      </c>
      <c r="N10" s="55">
        <f>+Table1[[#This Row],[Total direct expenditure Q3
(GBP)3]]*Table1[[#This Row],[Overhead %]]</f>
        <v>0</v>
      </c>
      <c r="O10" s="55">
        <f>Table1[[#This Row],[Total direct expenditure Q1
(GBP)]]+Table1[[#This Row],[Overhead Q1 total]]</f>
        <v>0</v>
      </c>
      <c r="P10" s="55">
        <f>+Table1[[#This Row],[Total direct expenditure Q2
(GBP)2]]+Table1[[#This Row],[Overhead Q2 total2]]</f>
        <v>592.54284825471439</v>
      </c>
      <c r="Q10" s="59">
        <f>+Table1[[#This Row],[Total direct expenditure Q3
(GBP)3]]+Table1[[#This Row],[Overhead Q3 total3]]</f>
        <v>0</v>
      </c>
      <c r="R10" s="59">
        <f>+Table1[[#This Row],[Total direct expenditure Q4
(GBP)4]]</f>
        <v>2016.2541225103832</v>
      </c>
      <c r="S10" s="59">
        <f>+Table1[[#This Row],[Actual total expenditure (Dec2023) Q1]]+Table1[[#This Row],[Actual total expenditure (Mar2024) Q2]]+Table1[[#This Row],[Actual total expenditure (Jun2024) Q3]]+Table1[[#This Row],[Actual total expenditure (Sep2024) Q4]]</f>
        <v>2608.7969707650977</v>
      </c>
      <c r="T10" s="59">
        <f>+Table1[[#This Row],[Planned total expenditure
(GBP)]]-Table1[[#This Row],[Total expenditure Q1+Q2+Q3+Q4]]</f>
        <v>2221.2030292349023</v>
      </c>
      <c r="U10" s="149">
        <f t="shared" si="0"/>
        <v>0.54012359643169727</v>
      </c>
      <c r="V10" s="145" t="s">
        <v>332</v>
      </c>
      <c r="W10" s="145" t="s">
        <v>119</v>
      </c>
      <c r="X10" s="55"/>
      <c r="Y10" s="55"/>
      <c r="Z10" s="194" t="s">
        <v>319</v>
      </c>
    </row>
    <row r="11" spans="2:26" ht="24.6" customHeight="1">
      <c r="B11" s="56" t="s">
        <v>130</v>
      </c>
      <c r="C11" s="56" t="s">
        <v>131</v>
      </c>
      <c r="D11" s="122" t="s">
        <v>132</v>
      </c>
      <c r="E11" s="122"/>
      <c r="F11" s="125">
        <v>14400</v>
      </c>
      <c r="G11" s="55">
        <v>0</v>
      </c>
      <c r="H11" s="55">
        <v>0</v>
      </c>
      <c r="I11" s="55">
        <v>0</v>
      </c>
      <c r="J11" s="55">
        <v>14801.408400436427</v>
      </c>
      <c r="K11" s="90">
        <v>0</v>
      </c>
      <c r="L11" s="55">
        <f>Table1[[#This Row],[Total direct expenditure Q1
(GBP)]]*Table1[[#This Row],[Overhead %]]</f>
        <v>0</v>
      </c>
      <c r="M11" s="55">
        <f>+Table1[[#This Row],[Total direct expenditure Q2
(GBP)2]]*Table1[[#This Row],[Overhead %]]</f>
        <v>0</v>
      </c>
      <c r="N11" s="55">
        <f>+Table1[[#This Row],[Total direct expenditure Q3
(GBP)3]]*Table1[[#This Row],[Overhead %]]</f>
        <v>0</v>
      </c>
      <c r="O11" s="55">
        <f>Table1[[#This Row],[Total direct expenditure Q1
(GBP)]]+Table1[[#This Row],[Overhead Q1 total]]</f>
        <v>0</v>
      </c>
      <c r="P11" s="55">
        <f>+Table1[[#This Row],[Total direct expenditure Q2
(GBP)2]]+Table1[[#This Row],[Overhead Q2 total2]]</f>
        <v>0</v>
      </c>
      <c r="Q11" s="59">
        <f>+Table1[[#This Row],[Total direct expenditure Q3
(GBP)3]]+Table1[[#This Row],[Overhead Q3 total3]]</f>
        <v>0</v>
      </c>
      <c r="R11" s="59">
        <f>+Table1[[#This Row],[Total direct expenditure Q4
(GBP)4]]</f>
        <v>14801.408400436427</v>
      </c>
      <c r="S11" s="59">
        <f>+Table1[[#This Row],[Actual total expenditure (Dec2023) Q1]]+Table1[[#This Row],[Actual total expenditure (Mar2024) Q2]]+Table1[[#This Row],[Actual total expenditure (Jun2024) Q3]]+Table1[[#This Row],[Actual total expenditure (Sep2024) Q4]]</f>
        <v>14801.408400436427</v>
      </c>
      <c r="T11" s="59">
        <f>+Table1[[#This Row],[Planned total expenditure
(GBP)]]-Table1[[#This Row],[Total expenditure Q1+Q2+Q3+Q4]]</f>
        <v>-401.40840043642675</v>
      </c>
      <c r="U11" s="149">
        <f t="shared" si="0"/>
        <v>1.0278755833636408</v>
      </c>
      <c r="V11" s="145" t="s">
        <v>328</v>
      </c>
      <c r="W11" s="55" t="s">
        <v>133</v>
      </c>
      <c r="X11" s="55"/>
      <c r="Y11" s="55"/>
      <c r="Z11" s="195" t="s">
        <v>320</v>
      </c>
    </row>
    <row r="12" spans="2:26" ht="24.6" customHeight="1">
      <c r="B12" s="56" t="s">
        <v>134</v>
      </c>
      <c r="C12" s="56" t="s">
        <v>135</v>
      </c>
      <c r="D12" s="122" t="s">
        <v>118</v>
      </c>
      <c r="E12" s="122"/>
      <c r="F12" s="125">
        <v>24400</v>
      </c>
      <c r="G12" s="55">
        <v>0</v>
      </c>
      <c r="H12" s="55">
        <v>6136.3966014797379</v>
      </c>
      <c r="I12" s="55">
        <v>2090.2975072058193</v>
      </c>
      <c r="J12" s="55">
        <v>17217.788625182857</v>
      </c>
      <c r="K12" s="90">
        <v>0</v>
      </c>
      <c r="L12" s="55">
        <f>Table1[[#This Row],[Total direct expenditure Q1
(GBP)]]*Table1[[#This Row],[Overhead %]]</f>
        <v>0</v>
      </c>
      <c r="M12" s="55">
        <f>+Table1[[#This Row],[Total direct expenditure Q2
(GBP)2]]*Table1[[#This Row],[Overhead %]]</f>
        <v>0</v>
      </c>
      <c r="N12" s="55">
        <f>+Table1[[#This Row],[Total direct expenditure Q3
(GBP)3]]*Table1[[#This Row],[Overhead %]]</f>
        <v>0</v>
      </c>
      <c r="O12" s="55">
        <f>Table1[[#This Row],[Total direct expenditure Q1
(GBP)]]+Table1[[#This Row],[Overhead Q1 total]]</f>
        <v>0</v>
      </c>
      <c r="P12" s="55">
        <f>+Table1[[#This Row],[Total direct expenditure Q2
(GBP)2]]+Table1[[#This Row],[Overhead Q2 total2]]</f>
        <v>6136.3966014797379</v>
      </c>
      <c r="Q12" s="59">
        <f>+Table1[[#This Row],[Total direct expenditure Q3
(GBP)3]]+Table1[[#This Row],[Overhead Q3 total3]]</f>
        <v>2090.2975072058193</v>
      </c>
      <c r="R12" s="59">
        <f>+Table1[[#This Row],[Total direct expenditure Q4
(GBP)4]]</f>
        <v>17217.788625182857</v>
      </c>
      <c r="S12" s="59">
        <f>+Table1[[#This Row],[Actual total expenditure (Dec2023) Q1]]+Table1[[#This Row],[Actual total expenditure (Mar2024) Q2]]+Table1[[#This Row],[Actual total expenditure (Jun2024) Q3]]+Table1[[#This Row],[Actual total expenditure (Sep2024) Q4]]</f>
        <v>25444.482733868412</v>
      </c>
      <c r="T12" s="59">
        <f>+Table1[[#This Row],[Planned total expenditure
(GBP)]]-Table1[[#This Row],[Total expenditure Q1+Q2+Q3+Q4]]</f>
        <v>-1044.4827338684117</v>
      </c>
      <c r="U12" s="149">
        <f t="shared" si="0"/>
        <v>1.0428066694208364</v>
      </c>
      <c r="V12" s="145" t="s">
        <v>329</v>
      </c>
      <c r="W12" s="55" t="s">
        <v>133</v>
      </c>
      <c r="X12" s="55"/>
      <c r="Y12" s="55"/>
      <c r="Z12" s="195" t="s">
        <v>320</v>
      </c>
    </row>
    <row r="13" spans="2:26" ht="24.6" customHeight="1">
      <c r="B13" s="56" t="s">
        <v>136</v>
      </c>
      <c r="C13" s="56" t="s">
        <v>137</v>
      </c>
      <c r="D13" s="122" t="s">
        <v>132</v>
      </c>
      <c r="E13" s="122"/>
      <c r="F13" s="125">
        <v>12000</v>
      </c>
      <c r="G13" s="55">
        <v>0</v>
      </c>
      <c r="H13" s="55">
        <v>0</v>
      </c>
      <c r="I13" s="55">
        <v>0</v>
      </c>
      <c r="J13" s="55">
        <v>12513.161079380001</v>
      </c>
      <c r="K13" s="90">
        <v>0</v>
      </c>
      <c r="L13" s="55">
        <f>Table1[[#This Row],[Total direct expenditure Q1
(GBP)]]*Table1[[#This Row],[Overhead %]]</f>
        <v>0</v>
      </c>
      <c r="M13" s="55">
        <f>+Table1[[#This Row],[Total direct expenditure Q2
(GBP)2]]*Table1[[#This Row],[Overhead %]]</f>
        <v>0</v>
      </c>
      <c r="N13" s="55">
        <f>+Table1[[#This Row],[Total direct expenditure Q3
(GBP)3]]*Table1[[#This Row],[Overhead %]]</f>
        <v>0</v>
      </c>
      <c r="O13" s="55">
        <f>Table1[[#This Row],[Total direct expenditure Q1
(GBP)]]+Table1[[#This Row],[Overhead Q1 total]]</f>
        <v>0</v>
      </c>
      <c r="P13" s="55">
        <f>+Table1[[#This Row],[Total direct expenditure Q2
(GBP)2]]+Table1[[#This Row],[Overhead Q2 total2]]</f>
        <v>0</v>
      </c>
      <c r="Q13" s="59">
        <f>+Table1[[#This Row],[Total direct expenditure Q3
(GBP)3]]+Table1[[#This Row],[Overhead Q3 total3]]</f>
        <v>0</v>
      </c>
      <c r="R13" s="59">
        <f>+Table1[[#This Row],[Total direct expenditure Q4
(GBP)4]]</f>
        <v>12513.161079380001</v>
      </c>
      <c r="S13" s="59">
        <f>+Table1[[#This Row],[Actual total expenditure (Dec2023) Q1]]+Table1[[#This Row],[Actual total expenditure (Mar2024) Q2]]+Table1[[#This Row],[Actual total expenditure (Jun2024) Q3]]+Table1[[#This Row],[Actual total expenditure (Sep2024) Q4]]</f>
        <v>12513.161079380001</v>
      </c>
      <c r="T13" s="59">
        <f>+Table1[[#This Row],[Planned total expenditure
(GBP)]]-Table1[[#This Row],[Total expenditure Q1+Q2+Q3+Q4]]</f>
        <v>-513.16107938000096</v>
      </c>
      <c r="U13" s="149">
        <f t="shared" si="0"/>
        <v>1.0427634232816667</v>
      </c>
      <c r="V13" s="145" t="s">
        <v>327</v>
      </c>
      <c r="W13" s="55" t="s">
        <v>133</v>
      </c>
      <c r="X13" s="55"/>
      <c r="Y13" s="55"/>
      <c r="Z13" s="195" t="s">
        <v>320</v>
      </c>
    </row>
    <row r="14" spans="2:26" ht="30">
      <c r="B14" s="56" t="s">
        <v>138</v>
      </c>
      <c r="C14" s="56" t="s">
        <v>139</v>
      </c>
      <c r="D14" s="122" t="s">
        <v>118</v>
      </c>
      <c r="E14" s="122" t="s">
        <v>140</v>
      </c>
      <c r="F14" s="125">
        <v>75768</v>
      </c>
      <c r="G14" s="55">
        <v>0</v>
      </c>
      <c r="H14" s="55">
        <v>28806.649352383018</v>
      </c>
      <c r="I14" s="55">
        <v>3827.9375379748462</v>
      </c>
      <c r="J14" s="55">
        <v>46377.809187998821</v>
      </c>
      <c r="K14" s="90">
        <v>0</v>
      </c>
      <c r="L14" s="55">
        <f>Table1[[#This Row],[Total direct expenditure Q1
(GBP)]]*Table1[[#This Row],[Overhead %]]</f>
        <v>0</v>
      </c>
      <c r="M14" s="55">
        <f>+Table1[[#This Row],[Total direct expenditure Q2
(GBP)2]]*Table1[[#This Row],[Overhead %]]</f>
        <v>0</v>
      </c>
      <c r="N14" s="55">
        <f>+Table1[[#This Row],[Total direct expenditure Q3
(GBP)3]]*Table1[[#This Row],[Overhead %]]</f>
        <v>0</v>
      </c>
      <c r="O14" s="55">
        <f>Table1[[#This Row],[Total direct expenditure Q1
(GBP)]]+Table1[[#This Row],[Overhead Q1 total]]</f>
        <v>0</v>
      </c>
      <c r="P14" s="55">
        <f>+Table1[[#This Row],[Total direct expenditure Q2
(GBP)2]]+Table1[[#This Row],[Overhead Q2 total2]]</f>
        <v>28806.649352383018</v>
      </c>
      <c r="Q14" s="59">
        <f>+Table1[[#This Row],[Total direct expenditure Q3
(GBP)3]]+Table1[[#This Row],[Overhead Q3 total3]]</f>
        <v>3827.9375379748462</v>
      </c>
      <c r="R14" s="59">
        <f>+Table1[[#This Row],[Total direct expenditure Q4
(GBP)4]]</f>
        <v>46377.809187998821</v>
      </c>
      <c r="S14" s="59">
        <f>+Table1[[#This Row],[Actual total expenditure (Dec2023) Q1]]+Table1[[#This Row],[Actual total expenditure (Mar2024) Q2]]+Table1[[#This Row],[Actual total expenditure (Jun2024) Q3]]+Table1[[#This Row],[Actual total expenditure (Sep2024) Q4]]</f>
        <v>79012.396078356687</v>
      </c>
      <c r="T14" s="59">
        <f>+Table1[[#This Row],[Planned total expenditure
(GBP)]]-Table1[[#This Row],[Total expenditure Q1+Q2+Q3+Q4]]</f>
        <v>-3244.3960783566872</v>
      </c>
      <c r="U14" s="149">
        <f>S14/F14</f>
        <v>1.0428201361835694</v>
      </c>
      <c r="V14" s="145" t="s">
        <v>330</v>
      </c>
      <c r="W14" s="55" t="s">
        <v>133</v>
      </c>
      <c r="X14" s="55"/>
      <c r="Y14" s="55"/>
      <c r="Z14" s="195" t="s">
        <v>320</v>
      </c>
    </row>
    <row r="15" spans="2:26" ht="24.6" customHeight="1">
      <c r="B15" s="56" t="s">
        <v>141</v>
      </c>
      <c r="C15" s="56" t="s">
        <v>142</v>
      </c>
      <c r="D15" s="122" t="s">
        <v>132</v>
      </c>
      <c r="E15" s="122"/>
      <c r="F15" s="125">
        <v>4250</v>
      </c>
      <c r="G15" s="55">
        <v>0</v>
      </c>
      <c r="H15" s="55">
        <v>0</v>
      </c>
      <c r="I15" s="55">
        <v>0</v>
      </c>
      <c r="J15" s="55">
        <v>3921.3395963523203</v>
      </c>
      <c r="K15" s="90">
        <v>0</v>
      </c>
      <c r="L15" s="55">
        <f>Table1[[#This Row],[Total direct expenditure Q1
(GBP)]]*Table1[[#This Row],[Overhead %]]</f>
        <v>0</v>
      </c>
      <c r="M15" s="55">
        <f>+Table1[[#This Row],[Total direct expenditure Q2
(GBP)2]]*Table1[[#This Row],[Overhead %]]</f>
        <v>0</v>
      </c>
      <c r="N15" s="55">
        <f>+Table1[[#This Row],[Total direct expenditure Q3
(GBP)3]]*Table1[[#This Row],[Overhead %]]</f>
        <v>0</v>
      </c>
      <c r="O15" s="55">
        <f>Table1[[#This Row],[Total direct expenditure Q1
(GBP)]]+Table1[[#This Row],[Overhead Q1 total]]</f>
        <v>0</v>
      </c>
      <c r="P15" s="55">
        <f>+Table1[[#This Row],[Total direct expenditure Q2
(GBP)2]]+Table1[[#This Row],[Overhead Q2 total2]]</f>
        <v>0</v>
      </c>
      <c r="Q15" s="59">
        <f>+Table1[[#This Row],[Total direct expenditure Q3
(GBP)3]]+Table1[[#This Row],[Overhead Q3 total3]]</f>
        <v>0</v>
      </c>
      <c r="R15" s="59">
        <f>+Table1[[#This Row],[Total direct expenditure Q4
(GBP)4]]</f>
        <v>3921.3395963523203</v>
      </c>
      <c r="S15" s="59">
        <f>+Table1[[#This Row],[Actual total expenditure (Dec2023) Q1]]+Table1[[#This Row],[Actual total expenditure (Mar2024) Q2]]+Table1[[#This Row],[Actual total expenditure (Jun2024) Q3]]+Table1[[#This Row],[Actual total expenditure (Sep2024) Q4]]</f>
        <v>3921.3395963523203</v>
      </c>
      <c r="T15" s="59">
        <f>+Table1[[#This Row],[Planned total expenditure
(GBP)]]-Table1[[#This Row],[Total expenditure Q1+Q2+Q3+Q4]]</f>
        <v>328.66040364767969</v>
      </c>
      <c r="U15" s="149">
        <f t="shared" si="0"/>
        <v>0.922668140318193</v>
      </c>
      <c r="V15" s="145" t="s">
        <v>332</v>
      </c>
      <c r="W15" s="145" t="s">
        <v>119</v>
      </c>
      <c r="X15" s="55"/>
      <c r="Y15" s="55"/>
      <c r="Z15" s="194" t="s">
        <v>319</v>
      </c>
    </row>
    <row r="16" spans="2:26" ht="24.6" customHeight="1">
      <c r="B16" s="56" t="s">
        <v>143</v>
      </c>
      <c r="C16" s="56" t="s">
        <v>144</v>
      </c>
      <c r="D16" s="122" t="s">
        <v>132</v>
      </c>
      <c r="E16" s="122"/>
      <c r="F16" s="125">
        <v>2250</v>
      </c>
      <c r="G16" s="55">
        <v>0</v>
      </c>
      <c r="H16" s="55">
        <v>0</v>
      </c>
      <c r="I16" s="55">
        <v>0</v>
      </c>
      <c r="J16" s="55">
        <v>2384.4915190602137</v>
      </c>
      <c r="K16" s="90">
        <v>0</v>
      </c>
      <c r="L16" s="55">
        <f>Table1[[#This Row],[Total direct expenditure Q1
(GBP)]]*Table1[[#This Row],[Overhead %]]</f>
        <v>0</v>
      </c>
      <c r="M16" s="55">
        <f>+Table1[[#This Row],[Total direct expenditure Q2
(GBP)2]]*Table1[[#This Row],[Overhead %]]</f>
        <v>0</v>
      </c>
      <c r="N16" s="55">
        <f>+Table1[[#This Row],[Total direct expenditure Q3
(GBP)3]]*Table1[[#This Row],[Overhead %]]</f>
        <v>0</v>
      </c>
      <c r="O16" s="55">
        <f>Table1[[#This Row],[Total direct expenditure Q1
(GBP)]]+Table1[[#This Row],[Overhead Q1 total]]</f>
        <v>0</v>
      </c>
      <c r="P16" s="55">
        <f>+Table1[[#This Row],[Total direct expenditure Q2
(GBP)2]]+Table1[[#This Row],[Overhead Q2 total2]]</f>
        <v>0</v>
      </c>
      <c r="Q16" s="59">
        <f>+Table1[[#This Row],[Total direct expenditure Q3
(GBP)3]]+Table1[[#This Row],[Overhead Q3 total3]]</f>
        <v>0</v>
      </c>
      <c r="R16" s="59">
        <f>+Table1[[#This Row],[Total direct expenditure Q4
(GBP)4]]</f>
        <v>2384.4915190602137</v>
      </c>
      <c r="S16" s="59">
        <f>+Table1[[#This Row],[Actual total expenditure (Dec2023) Q1]]+Table1[[#This Row],[Actual total expenditure (Mar2024) Q2]]+Table1[[#This Row],[Actual total expenditure (Jun2024) Q3]]+Table1[[#This Row],[Actual total expenditure (Sep2024) Q4]]</f>
        <v>2384.4915190602137</v>
      </c>
      <c r="T16" s="59">
        <f>+Table1[[#This Row],[Planned total expenditure
(GBP)]]-Table1[[#This Row],[Total expenditure Q1+Q2+Q3+Q4]]</f>
        <v>-134.4915190602137</v>
      </c>
      <c r="U16" s="149">
        <f t="shared" si="0"/>
        <v>1.0597740084712062</v>
      </c>
      <c r="V16" s="55"/>
      <c r="W16" s="55"/>
      <c r="X16" s="55"/>
      <c r="Y16" s="55"/>
      <c r="Z16" s="186"/>
    </row>
    <row r="17" spans="2:26" ht="24.6" customHeight="1">
      <c r="B17" s="56" t="s">
        <v>145</v>
      </c>
      <c r="C17" s="56" t="s">
        <v>146</v>
      </c>
      <c r="D17" s="122" t="s">
        <v>132</v>
      </c>
      <c r="E17" s="122"/>
      <c r="F17" s="125">
        <v>2250</v>
      </c>
      <c r="G17" s="55">
        <v>0</v>
      </c>
      <c r="H17" s="55">
        <v>0</v>
      </c>
      <c r="I17" s="55">
        <v>0</v>
      </c>
      <c r="J17" s="55">
        <v>2273.2839967628092</v>
      </c>
      <c r="K17" s="90">
        <v>0</v>
      </c>
      <c r="L17" s="55">
        <f>Table1[[#This Row],[Total direct expenditure Q1
(GBP)]]*Table1[[#This Row],[Overhead %]]</f>
        <v>0</v>
      </c>
      <c r="M17" s="55">
        <f>+Table1[[#This Row],[Total direct expenditure Q2
(GBP)2]]*Table1[[#This Row],[Overhead %]]</f>
        <v>0</v>
      </c>
      <c r="N17" s="55">
        <f>+Table1[[#This Row],[Total direct expenditure Q3
(GBP)3]]*Table1[[#This Row],[Overhead %]]</f>
        <v>0</v>
      </c>
      <c r="O17" s="55">
        <f>Table1[[#This Row],[Total direct expenditure Q1
(GBP)]]+Table1[[#This Row],[Overhead Q1 total]]</f>
        <v>0</v>
      </c>
      <c r="P17" s="55">
        <f>+Table1[[#This Row],[Total direct expenditure Q2
(GBP)2]]+Table1[[#This Row],[Overhead Q2 total2]]</f>
        <v>0</v>
      </c>
      <c r="Q17" s="59">
        <f>+Table1[[#This Row],[Total direct expenditure Q3
(GBP)3]]+Table1[[#This Row],[Overhead Q3 total3]]</f>
        <v>0</v>
      </c>
      <c r="R17" s="59">
        <f>+Table1[[#This Row],[Total direct expenditure Q4
(GBP)4]]</f>
        <v>2273.2839967628092</v>
      </c>
      <c r="S17" s="59">
        <f>+Table1[[#This Row],[Actual total expenditure (Dec2023) Q1]]+Table1[[#This Row],[Actual total expenditure (Mar2024) Q2]]+Table1[[#This Row],[Actual total expenditure (Jun2024) Q3]]+Table1[[#This Row],[Actual total expenditure (Sep2024) Q4]]</f>
        <v>2273.2839967628092</v>
      </c>
      <c r="T17" s="59">
        <f>+Table1[[#This Row],[Planned total expenditure
(GBP)]]-Table1[[#This Row],[Total expenditure Q1+Q2+Q3+Q4]]</f>
        <v>-23.283996762809238</v>
      </c>
      <c r="U17" s="149">
        <f t="shared" si="0"/>
        <v>1.010348443005693</v>
      </c>
      <c r="V17" s="55"/>
      <c r="W17" s="55"/>
      <c r="X17" s="55"/>
      <c r="Y17" s="55"/>
      <c r="Z17" s="186"/>
    </row>
    <row r="18" spans="2:26" ht="24.6" customHeight="1">
      <c r="B18" s="56" t="s">
        <v>147</v>
      </c>
      <c r="C18" s="56" t="s">
        <v>148</v>
      </c>
      <c r="D18" s="122" t="s">
        <v>118</v>
      </c>
      <c r="E18" s="122"/>
      <c r="F18" s="125">
        <v>12750</v>
      </c>
      <c r="G18" s="55">
        <v>0</v>
      </c>
      <c r="H18" s="55">
        <v>5682.2049677225905</v>
      </c>
      <c r="I18" s="55">
        <v>4017.5552265476458</v>
      </c>
      <c r="J18" s="55">
        <v>2621.6966797919486</v>
      </c>
      <c r="K18" s="90">
        <v>0</v>
      </c>
      <c r="L18" s="55">
        <f>Table1[[#This Row],[Total direct expenditure Q1
(GBP)]]*Table1[[#This Row],[Overhead %]]</f>
        <v>0</v>
      </c>
      <c r="M18" s="55">
        <f>+Table1[[#This Row],[Total direct expenditure Q2
(GBP)2]]*Table1[[#This Row],[Overhead %]]</f>
        <v>0</v>
      </c>
      <c r="N18" s="55">
        <f>+Table1[[#This Row],[Total direct expenditure Q3
(GBP)3]]*Table1[[#This Row],[Overhead %]]</f>
        <v>0</v>
      </c>
      <c r="O18" s="55">
        <f>Table1[[#This Row],[Total direct expenditure Q1
(GBP)]]+Table1[[#This Row],[Overhead Q1 total]]</f>
        <v>0</v>
      </c>
      <c r="P18" s="55">
        <f>+Table1[[#This Row],[Total direct expenditure Q2
(GBP)2]]+Table1[[#This Row],[Overhead Q2 total2]]</f>
        <v>5682.2049677225905</v>
      </c>
      <c r="Q18" s="59">
        <f>+Table1[[#This Row],[Total direct expenditure Q3
(GBP)3]]+Table1[[#This Row],[Overhead Q3 total3]]</f>
        <v>4017.5552265476458</v>
      </c>
      <c r="R18" s="59">
        <f>+Table1[[#This Row],[Total direct expenditure Q4
(GBP)4]]</f>
        <v>2621.6966797919486</v>
      </c>
      <c r="S18" s="59">
        <f>+Table1[[#This Row],[Actual total expenditure (Dec2023) Q1]]+Table1[[#This Row],[Actual total expenditure (Mar2024) Q2]]+Table1[[#This Row],[Actual total expenditure (Jun2024) Q3]]+Table1[[#This Row],[Actual total expenditure (Sep2024) Q4]]</f>
        <v>12321.456874062185</v>
      </c>
      <c r="T18" s="59">
        <f>+Table1[[#This Row],[Planned total expenditure
(GBP)]]-Table1[[#This Row],[Total expenditure Q1+Q2+Q3+Q4]]</f>
        <v>428.54312593781469</v>
      </c>
      <c r="U18" s="149">
        <f t="shared" si="0"/>
        <v>0.96638877443624982</v>
      </c>
      <c r="V18" s="145" t="s">
        <v>332</v>
      </c>
      <c r="W18" s="145" t="s">
        <v>119</v>
      </c>
      <c r="X18" s="55"/>
      <c r="Y18" s="55"/>
      <c r="Z18" s="194" t="s">
        <v>319</v>
      </c>
    </row>
    <row r="19" spans="2:26" ht="24.6" customHeight="1">
      <c r="B19" s="56" t="s">
        <v>149</v>
      </c>
      <c r="C19" s="56" t="s">
        <v>150</v>
      </c>
      <c r="D19" s="122" t="s">
        <v>118</v>
      </c>
      <c r="E19" s="122"/>
      <c r="F19" s="125">
        <v>10800</v>
      </c>
      <c r="G19" s="55">
        <v>0</v>
      </c>
      <c r="H19" s="55">
        <v>3341.6497711278926</v>
      </c>
      <c r="I19" s="55">
        <v>1577.0569417607078</v>
      </c>
      <c r="J19" s="55">
        <v>1572.4252945573055</v>
      </c>
      <c r="K19" s="90">
        <v>0</v>
      </c>
      <c r="L19" s="55">
        <f>Table1[[#This Row],[Total direct expenditure Q1
(GBP)]]*Table1[[#This Row],[Overhead %]]</f>
        <v>0</v>
      </c>
      <c r="M19" s="55">
        <f>+Table1[[#This Row],[Total direct expenditure Q2
(GBP)2]]*Table1[[#This Row],[Overhead %]]</f>
        <v>0</v>
      </c>
      <c r="N19" s="55">
        <f>+Table1[[#This Row],[Total direct expenditure Q3
(GBP)3]]*Table1[[#This Row],[Overhead %]]</f>
        <v>0</v>
      </c>
      <c r="O19" s="55">
        <f>Table1[[#This Row],[Total direct expenditure Q1
(GBP)]]+Table1[[#This Row],[Overhead Q1 total]]</f>
        <v>0</v>
      </c>
      <c r="P19" s="55">
        <f>+Table1[[#This Row],[Total direct expenditure Q2
(GBP)2]]+Table1[[#This Row],[Overhead Q2 total2]]</f>
        <v>3341.6497711278926</v>
      </c>
      <c r="Q19" s="59">
        <f>+Table1[[#This Row],[Total direct expenditure Q3
(GBP)3]]+Table1[[#This Row],[Overhead Q3 total3]]</f>
        <v>1577.0569417607078</v>
      </c>
      <c r="R19" s="59">
        <f>+Table1[[#This Row],[Total direct expenditure Q4
(GBP)4]]</f>
        <v>1572.4252945573055</v>
      </c>
      <c r="S19" s="59">
        <f>+Table1[[#This Row],[Actual total expenditure (Dec2023) Q1]]+Table1[[#This Row],[Actual total expenditure (Mar2024) Q2]]+Table1[[#This Row],[Actual total expenditure (Jun2024) Q3]]+Table1[[#This Row],[Actual total expenditure (Sep2024) Q4]]</f>
        <v>6491.1320074459054</v>
      </c>
      <c r="T19" s="59">
        <f>+Table1[[#This Row],[Planned total expenditure
(GBP)]]-Table1[[#This Row],[Total expenditure Q1+Q2+Q3+Q4]]</f>
        <v>4308.8679925540946</v>
      </c>
      <c r="U19" s="149">
        <f t="shared" si="0"/>
        <v>0.60103074143017643</v>
      </c>
      <c r="V19" s="145" t="s">
        <v>332</v>
      </c>
      <c r="W19" s="145" t="s">
        <v>119</v>
      </c>
      <c r="X19" s="55"/>
      <c r="Y19" s="55"/>
      <c r="Z19" s="194" t="s">
        <v>319</v>
      </c>
    </row>
    <row r="20" spans="2:26" ht="24.6" customHeight="1">
      <c r="B20" s="56" t="s">
        <v>151</v>
      </c>
      <c r="C20" s="56" t="s">
        <v>152</v>
      </c>
      <c r="D20" s="122" t="s">
        <v>118</v>
      </c>
      <c r="E20" s="122"/>
      <c r="F20" s="125">
        <v>2800</v>
      </c>
      <c r="G20" s="55">
        <v>0</v>
      </c>
      <c r="H20" s="55">
        <v>336.16651193498302</v>
      </c>
      <c r="I20" s="55">
        <v>0</v>
      </c>
      <c r="J20" s="55">
        <v>1082.4510692433571</v>
      </c>
      <c r="K20" s="90">
        <v>0</v>
      </c>
      <c r="L20" s="55">
        <f>Table1[[#This Row],[Total direct expenditure Q1
(GBP)]]*Table1[[#This Row],[Overhead %]]</f>
        <v>0</v>
      </c>
      <c r="M20" s="55">
        <f>+Table1[[#This Row],[Total direct expenditure Q2
(GBP)2]]*Table1[[#This Row],[Overhead %]]</f>
        <v>0</v>
      </c>
      <c r="N20" s="55">
        <f>+Table1[[#This Row],[Total direct expenditure Q3
(GBP)3]]*Table1[[#This Row],[Overhead %]]</f>
        <v>0</v>
      </c>
      <c r="O20" s="55">
        <f>Table1[[#This Row],[Total direct expenditure Q1
(GBP)]]+Table1[[#This Row],[Overhead Q1 total]]</f>
        <v>0</v>
      </c>
      <c r="P20" s="55">
        <f>+Table1[[#This Row],[Total direct expenditure Q2
(GBP)2]]+Table1[[#This Row],[Overhead Q2 total2]]</f>
        <v>336.16651193498302</v>
      </c>
      <c r="Q20" s="59">
        <f>+Table1[[#This Row],[Total direct expenditure Q3
(GBP)3]]+Table1[[#This Row],[Overhead Q3 total3]]</f>
        <v>0</v>
      </c>
      <c r="R20" s="59">
        <f>+Table1[[#This Row],[Total direct expenditure Q4
(GBP)4]]</f>
        <v>1082.4510692433571</v>
      </c>
      <c r="S20" s="59">
        <f>+Table1[[#This Row],[Actual total expenditure (Dec2023) Q1]]+Table1[[#This Row],[Actual total expenditure (Mar2024) Q2]]+Table1[[#This Row],[Actual total expenditure (Jun2024) Q3]]+Table1[[#This Row],[Actual total expenditure (Sep2024) Q4]]</f>
        <v>1418.6175811783401</v>
      </c>
      <c r="T20" s="59">
        <f>+Table1[[#This Row],[Planned total expenditure
(GBP)]]-Table1[[#This Row],[Total expenditure Q1+Q2+Q3+Q4]]</f>
        <v>1381.3824188216599</v>
      </c>
      <c r="U20" s="149">
        <f t="shared" si="0"/>
        <v>0.50664913613512141</v>
      </c>
      <c r="V20" s="145" t="s">
        <v>332</v>
      </c>
      <c r="W20" s="145" t="s">
        <v>119</v>
      </c>
      <c r="X20" s="55"/>
      <c r="Y20" s="55"/>
      <c r="Z20" s="194" t="s">
        <v>319</v>
      </c>
    </row>
    <row r="21" spans="2:26" ht="24.6" customHeight="1">
      <c r="B21" s="56" t="s">
        <v>153</v>
      </c>
      <c r="C21" s="56" t="s">
        <v>154</v>
      </c>
      <c r="D21" s="122" t="s">
        <v>132</v>
      </c>
      <c r="E21" s="122"/>
      <c r="F21" s="125">
        <v>2310</v>
      </c>
      <c r="G21" s="55">
        <v>0</v>
      </c>
      <c r="H21" s="55">
        <v>0</v>
      </c>
      <c r="I21" s="55">
        <v>1310.4570050599839</v>
      </c>
      <c r="J21" s="55">
        <v>511.26014140012381</v>
      </c>
      <c r="K21" s="90">
        <v>0</v>
      </c>
      <c r="L21" s="55">
        <f>Table1[[#This Row],[Total direct expenditure Q1
(GBP)]]*Table1[[#This Row],[Overhead %]]</f>
        <v>0</v>
      </c>
      <c r="M21" s="55">
        <f>+Table1[[#This Row],[Total direct expenditure Q2
(GBP)2]]*Table1[[#This Row],[Overhead %]]</f>
        <v>0</v>
      </c>
      <c r="N21" s="55">
        <f>+Table1[[#This Row],[Total direct expenditure Q3
(GBP)3]]*Table1[[#This Row],[Overhead %]]</f>
        <v>0</v>
      </c>
      <c r="O21" s="55">
        <f>Table1[[#This Row],[Total direct expenditure Q1
(GBP)]]+Table1[[#This Row],[Overhead Q1 total]]</f>
        <v>0</v>
      </c>
      <c r="P21" s="55">
        <f>+Table1[[#This Row],[Total direct expenditure Q2
(GBP)2]]+Table1[[#This Row],[Overhead Q2 total2]]</f>
        <v>0</v>
      </c>
      <c r="Q21" s="59">
        <f>+Table1[[#This Row],[Total direct expenditure Q3
(GBP)3]]+Table1[[#This Row],[Overhead Q3 total3]]</f>
        <v>1310.4570050599839</v>
      </c>
      <c r="R21" s="59">
        <f>+Table1[[#This Row],[Total direct expenditure Q4
(GBP)4]]</f>
        <v>511.26014140012381</v>
      </c>
      <c r="S21" s="59">
        <f>+Table1[[#This Row],[Actual total expenditure (Dec2023) Q1]]+Table1[[#This Row],[Actual total expenditure (Mar2024) Q2]]+Table1[[#This Row],[Actual total expenditure (Jun2024) Q3]]+Table1[[#This Row],[Actual total expenditure (Sep2024) Q4]]</f>
        <v>1821.7171464601076</v>
      </c>
      <c r="T21" s="59">
        <f>+Table1[[#This Row],[Planned total expenditure
(GBP)]]-Table1[[#This Row],[Total expenditure Q1+Q2+Q3+Q4]]</f>
        <v>488.28285353989236</v>
      </c>
      <c r="U21" s="149">
        <f t="shared" si="0"/>
        <v>0.78862214132472197</v>
      </c>
      <c r="V21" s="145" t="s">
        <v>332</v>
      </c>
      <c r="W21" s="145" t="s">
        <v>119</v>
      </c>
      <c r="X21" s="55"/>
      <c r="Y21" s="55"/>
      <c r="Z21" s="194" t="s">
        <v>319</v>
      </c>
    </row>
    <row r="22" spans="2:26" ht="24.6" customHeight="1">
      <c r="B22" s="56" t="s">
        <v>155</v>
      </c>
      <c r="C22" s="56" t="s">
        <v>156</v>
      </c>
      <c r="D22" s="122" t="s">
        <v>118</v>
      </c>
      <c r="E22" s="122"/>
      <c r="F22" s="125">
        <v>5500</v>
      </c>
      <c r="G22" s="55">
        <v>0</v>
      </c>
      <c r="H22" s="55">
        <v>1683.6243948723054</v>
      </c>
      <c r="I22" s="55">
        <v>1176.4847026648363</v>
      </c>
      <c r="J22" s="55">
        <v>538.67916832708727</v>
      </c>
      <c r="K22" s="90">
        <v>0</v>
      </c>
      <c r="L22" s="55">
        <f>Table1[[#This Row],[Total direct expenditure Q1
(GBP)]]*Table1[[#This Row],[Overhead %]]</f>
        <v>0</v>
      </c>
      <c r="M22" s="55">
        <f>+Table1[[#This Row],[Total direct expenditure Q2
(GBP)2]]*Table1[[#This Row],[Overhead %]]</f>
        <v>0</v>
      </c>
      <c r="N22" s="55">
        <f>+Table1[[#This Row],[Total direct expenditure Q3
(GBP)3]]*Table1[[#This Row],[Overhead %]]</f>
        <v>0</v>
      </c>
      <c r="O22" s="55">
        <f>Table1[[#This Row],[Total direct expenditure Q1
(GBP)]]+Table1[[#This Row],[Overhead Q1 total]]</f>
        <v>0</v>
      </c>
      <c r="P22" s="55">
        <f>+Table1[[#This Row],[Total direct expenditure Q2
(GBP)2]]+Table1[[#This Row],[Overhead Q2 total2]]</f>
        <v>1683.6243948723054</v>
      </c>
      <c r="Q22" s="59">
        <f>+Table1[[#This Row],[Total direct expenditure Q3
(GBP)3]]+Table1[[#This Row],[Overhead Q3 total3]]</f>
        <v>1176.4847026648363</v>
      </c>
      <c r="R22" s="59">
        <f>+Table1[[#This Row],[Total direct expenditure Q4
(GBP)4]]</f>
        <v>538.67916832708727</v>
      </c>
      <c r="S22" s="59">
        <f>+Table1[[#This Row],[Actual total expenditure (Dec2023) Q1]]+Table1[[#This Row],[Actual total expenditure (Mar2024) Q2]]+Table1[[#This Row],[Actual total expenditure (Jun2024) Q3]]+Table1[[#This Row],[Actual total expenditure (Sep2024) Q4]]</f>
        <v>3398.7882658642288</v>
      </c>
      <c r="T22" s="59">
        <f>+Table1[[#This Row],[Planned total expenditure
(GBP)]]-Table1[[#This Row],[Total expenditure Q1+Q2+Q3+Q4]]</f>
        <v>2101.2117341357712</v>
      </c>
      <c r="U22" s="149">
        <f t="shared" si="0"/>
        <v>0.61796150288440521</v>
      </c>
      <c r="V22" s="145" t="s">
        <v>332</v>
      </c>
      <c r="W22" s="145" t="s">
        <v>119</v>
      </c>
      <c r="X22" s="55"/>
      <c r="Y22" s="55"/>
      <c r="Z22" s="194" t="s">
        <v>319</v>
      </c>
    </row>
    <row r="23" spans="2:26" ht="24.6" customHeight="1">
      <c r="B23" s="56" t="s">
        <v>157</v>
      </c>
      <c r="C23" s="56" t="s">
        <v>158</v>
      </c>
      <c r="D23" s="122" t="s">
        <v>118</v>
      </c>
      <c r="E23" s="122"/>
      <c r="F23" s="125">
        <v>4800</v>
      </c>
      <c r="G23" s="55">
        <v>0</v>
      </c>
      <c r="H23" s="55">
        <v>1947.6209635724556</v>
      </c>
      <c r="I23" s="55">
        <v>1620.2410061771302</v>
      </c>
      <c r="J23" s="55">
        <v>1401.3577673643356</v>
      </c>
      <c r="K23" s="90">
        <v>0</v>
      </c>
      <c r="L23" s="55">
        <f>Table1[[#This Row],[Total direct expenditure Q1
(GBP)]]*Table1[[#This Row],[Overhead %]]</f>
        <v>0</v>
      </c>
      <c r="M23" s="55">
        <f>+Table1[[#This Row],[Total direct expenditure Q2
(GBP)2]]*Table1[[#This Row],[Overhead %]]</f>
        <v>0</v>
      </c>
      <c r="N23" s="55">
        <f>+Table1[[#This Row],[Total direct expenditure Q3
(GBP)3]]*Table1[[#This Row],[Overhead %]]</f>
        <v>0</v>
      </c>
      <c r="O23" s="55">
        <f>Table1[[#This Row],[Total direct expenditure Q1
(GBP)]]+Table1[[#This Row],[Overhead Q1 total]]</f>
        <v>0</v>
      </c>
      <c r="P23" s="55">
        <f>+Table1[[#This Row],[Total direct expenditure Q2
(GBP)2]]+Table1[[#This Row],[Overhead Q2 total2]]</f>
        <v>1947.6209635724556</v>
      </c>
      <c r="Q23" s="59">
        <f>+Table1[[#This Row],[Total direct expenditure Q3
(GBP)3]]+Table1[[#This Row],[Overhead Q3 total3]]</f>
        <v>1620.2410061771302</v>
      </c>
      <c r="R23" s="59">
        <f>+Table1[[#This Row],[Total direct expenditure Q4
(GBP)4]]</f>
        <v>1401.3577673643356</v>
      </c>
      <c r="S23" s="59">
        <f>+Table1[[#This Row],[Actual total expenditure (Dec2023) Q1]]+Table1[[#This Row],[Actual total expenditure (Mar2024) Q2]]+Table1[[#This Row],[Actual total expenditure (Jun2024) Q3]]+Table1[[#This Row],[Actual total expenditure (Sep2024) Q4]]</f>
        <v>4969.2197371139218</v>
      </c>
      <c r="T23" s="59">
        <f>+Table1[[#This Row],[Planned total expenditure
(GBP)]]-Table1[[#This Row],[Total expenditure Q1+Q2+Q3+Q4]]</f>
        <v>-169.21973711392184</v>
      </c>
      <c r="U23" s="149">
        <f t="shared" si="0"/>
        <v>1.0352541118987337</v>
      </c>
      <c r="V23" s="55"/>
      <c r="W23" s="55"/>
      <c r="X23" s="55"/>
      <c r="Y23" s="55"/>
      <c r="Z23" s="186"/>
    </row>
    <row r="24" spans="2:26" ht="24.6" customHeight="1">
      <c r="B24" s="56" t="s">
        <v>159</v>
      </c>
      <c r="C24" s="56" t="s">
        <v>160</v>
      </c>
      <c r="D24" s="122" t="s">
        <v>161</v>
      </c>
      <c r="E24" s="122"/>
      <c r="F24" s="125">
        <v>5400</v>
      </c>
      <c r="G24" s="55">
        <v>0</v>
      </c>
      <c r="H24" s="55">
        <v>2133.4339845361396</v>
      </c>
      <c r="I24" s="55">
        <v>1699.3998139754012</v>
      </c>
      <c r="J24" s="55">
        <v>1501.4306381382196</v>
      </c>
      <c r="K24" s="90">
        <v>0</v>
      </c>
      <c r="L24" s="55">
        <f>Table1[[#This Row],[Total direct expenditure Q1
(GBP)]]*Table1[[#This Row],[Overhead %]]</f>
        <v>0</v>
      </c>
      <c r="M24" s="55">
        <f>+Table1[[#This Row],[Total direct expenditure Q2
(GBP)2]]*Table1[[#This Row],[Overhead %]]</f>
        <v>0</v>
      </c>
      <c r="N24" s="55">
        <f>+Table1[[#This Row],[Total direct expenditure Q3
(GBP)3]]*Table1[[#This Row],[Overhead %]]</f>
        <v>0</v>
      </c>
      <c r="O24" s="55">
        <f>Table1[[#This Row],[Total direct expenditure Q1
(GBP)]]+Table1[[#This Row],[Overhead Q1 total]]</f>
        <v>0</v>
      </c>
      <c r="P24" s="55">
        <f>+Table1[[#This Row],[Total direct expenditure Q2
(GBP)2]]+Table1[[#This Row],[Overhead Q2 total2]]</f>
        <v>2133.4339845361396</v>
      </c>
      <c r="Q24" s="59">
        <f>+Table1[[#This Row],[Total direct expenditure Q3
(GBP)3]]+Table1[[#This Row],[Overhead Q3 total3]]</f>
        <v>1699.3998139754012</v>
      </c>
      <c r="R24" s="59">
        <f>+Table1[[#This Row],[Total direct expenditure Q4
(GBP)4]]</f>
        <v>1501.4306381382196</v>
      </c>
      <c r="S24" s="59">
        <f>+Table1[[#This Row],[Actual total expenditure (Dec2023) Q1]]+Table1[[#This Row],[Actual total expenditure (Mar2024) Q2]]+Table1[[#This Row],[Actual total expenditure (Jun2024) Q3]]+Table1[[#This Row],[Actual total expenditure (Sep2024) Q4]]</f>
        <v>5334.2644366497607</v>
      </c>
      <c r="T24" s="59">
        <f>+Table1[[#This Row],[Planned total expenditure
(GBP)]]-Table1[[#This Row],[Total expenditure Q1+Q2+Q3+Q4]]</f>
        <v>65.735563350239318</v>
      </c>
      <c r="U24" s="149">
        <f t="shared" si="0"/>
        <v>0.98782674752773347</v>
      </c>
      <c r="V24" s="55"/>
      <c r="W24" s="55"/>
      <c r="X24" s="55"/>
      <c r="Y24" s="55"/>
      <c r="Z24" s="186"/>
    </row>
    <row r="25" spans="2:26" ht="24.6" customHeight="1">
      <c r="B25" s="58" t="s">
        <v>162</v>
      </c>
      <c r="C25" s="58" t="s">
        <v>163</v>
      </c>
      <c r="D25" s="122" t="s">
        <v>164</v>
      </c>
      <c r="E25" s="122" t="s">
        <v>165</v>
      </c>
      <c r="F25" s="126">
        <v>26100</v>
      </c>
      <c r="G25" s="59">
        <v>12556.072507636512</v>
      </c>
      <c r="H25" s="59">
        <v>3600.3580895027217</v>
      </c>
      <c r="I25" s="59">
        <v>3605.6142085133206</v>
      </c>
      <c r="J25" s="59">
        <v>7456.8149565318754</v>
      </c>
      <c r="K25" s="90">
        <v>0</v>
      </c>
      <c r="L25" s="59">
        <f>Table1[[#This Row],[Total direct expenditure Q1
(GBP)]]*Table1[[#This Row],[Overhead %]]</f>
        <v>0</v>
      </c>
      <c r="M25" s="59">
        <f>+Table1[[#This Row],[Total direct expenditure Q2
(GBP)2]]*Table1[[#This Row],[Overhead %]]</f>
        <v>0</v>
      </c>
      <c r="N25" s="59">
        <f>+Table1[[#This Row],[Total direct expenditure Q3
(GBP)3]]*Table1[[#This Row],[Overhead %]]</f>
        <v>0</v>
      </c>
      <c r="O25" s="59">
        <f>Table1[[#This Row],[Total direct expenditure Q1
(GBP)]]+Table1[[#This Row],[Overhead Q1 total]]</f>
        <v>12556.072507636512</v>
      </c>
      <c r="P25" s="59">
        <f>+Table1[[#This Row],[Total direct expenditure Q2
(GBP)2]]+Table1[[#This Row],[Overhead Q2 total2]]</f>
        <v>3600.3580895027217</v>
      </c>
      <c r="Q25" s="59">
        <f>+Table1[[#This Row],[Total direct expenditure Q3
(GBP)3]]+Table1[[#This Row],[Overhead Q3 total3]]</f>
        <v>3605.6142085133206</v>
      </c>
      <c r="R25" s="59">
        <f>+Table1[[#This Row],[Total direct expenditure Q4
(GBP)4]]</f>
        <v>7456.8149565318754</v>
      </c>
      <c r="S25" s="59">
        <f>+Table1[[#This Row],[Actual total expenditure (Dec2023) Q1]]+Table1[[#This Row],[Actual total expenditure (Mar2024) Q2]]+Table1[[#This Row],[Actual total expenditure (Jun2024) Q3]]+Table1[[#This Row],[Actual total expenditure (Sep2024) Q4]]</f>
        <v>27218.859762184431</v>
      </c>
      <c r="T25" s="59">
        <f>+Table1[[#This Row],[Planned total expenditure
(GBP)]]-Table1[[#This Row],[Total expenditure Q1+Q2+Q3+Q4]]</f>
        <v>-1118.859762184431</v>
      </c>
      <c r="U25" s="149">
        <f t="shared" si="0"/>
        <v>1.0428681901220089</v>
      </c>
      <c r="V25" s="144"/>
      <c r="W25" s="55"/>
      <c r="X25" s="55"/>
      <c r="Y25" s="186"/>
      <c r="Z25" s="186"/>
    </row>
    <row r="26" spans="2:26" ht="24.6" customHeight="1">
      <c r="B26" s="56" t="s">
        <v>166</v>
      </c>
      <c r="C26" s="56" t="s">
        <v>167</v>
      </c>
      <c r="D26" s="123" t="s">
        <v>164</v>
      </c>
      <c r="E26" s="122" t="s">
        <v>168</v>
      </c>
      <c r="F26" s="125">
        <v>17625</v>
      </c>
      <c r="G26" s="55">
        <v>11173.479711408758</v>
      </c>
      <c r="H26" s="55">
        <v>2656.9198070849784</v>
      </c>
      <c r="I26" s="55">
        <v>2660.7985221318181</v>
      </c>
      <c r="J26" s="55">
        <v>1889.8068379793972</v>
      </c>
      <c r="K26" s="90">
        <v>0</v>
      </c>
      <c r="L26" s="55">
        <f>Table1[[#This Row],[Total direct expenditure Q1
(GBP)]]*Table1[[#This Row],[Overhead %]]</f>
        <v>0</v>
      </c>
      <c r="M26" s="55">
        <f>+Table1[[#This Row],[Total direct expenditure Q2
(GBP)2]]*Table1[[#This Row],[Overhead %]]</f>
        <v>0</v>
      </c>
      <c r="N26" s="55">
        <f>+Table1[[#This Row],[Total direct expenditure Q3
(GBP)3]]*Table1[[#This Row],[Overhead %]]</f>
        <v>0</v>
      </c>
      <c r="O26" s="55">
        <f>Table1[[#This Row],[Total direct expenditure Q1
(GBP)]]+Table1[[#This Row],[Overhead Q1 total]]</f>
        <v>11173.479711408758</v>
      </c>
      <c r="P26" s="55">
        <f>+Table1[[#This Row],[Total direct expenditure Q2
(GBP)2]]+Table1[[#This Row],[Overhead Q2 total2]]</f>
        <v>2656.9198070849784</v>
      </c>
      <c r="Q26" s="59">
        <f>+Table1[[#This Row],[Total direct expenditure Q3
(GBP)3]]+Table1[[#This Row],[Overhead Q3 total3]]</f>
        <v>2660.7985221318181</v>
      </c>
      <c r="R26" s="59">
        <f>+Table1[[#This Row],[Total direct expenditure Q4
(GBP)4]]</f>
        <v>1889.8068379793972</v>
      </c>
      <c r="S26" s="59">
        <f>+Table1[[#This Row],[Actual total expenditure (Dec2023) Q1]]+Table1[[#This Row],[Actual total expenditure (Mar2024) Q2]]+Table1[[#This Row],[Actual total expenditure (Jun2024) Q3]]+Table1[[#This Row],[Actual total expenditure (Sep2024) Q4]]</f>
        <v>18381.004878604952</v>
      </c>
      <c r="T26" s="59">
        <f>+Table1[[#This Row],[Planned total expenditure
(GBP)]]-Table1[[#This Row],[Total expenditure Q1+Q2+Q3+Q4]]</f>
        <v>-756.00487860495195</v>
      </c>
      <c r="U26" s="149">
        <f t="shared" si="0"/>
        <v>1.0428938938215575</v>
      </c>
      <c r="V26" s="144"/>
      <c r="W26" s="55"/>
      <c r="X26" s="55"/>
      <c r="Y26" s="186"/>
      <c r="Z26" s="186"/>
    </row>
    <row r="27" spans="2:26" ht="24.6" customHeight="1">
      <c r="B27" s="56" t="s">
        <v>169</v>
      </c>
      <c r="C27" s="56" t="s">
        <v>170</v>
      </c>
      <c r="D27" s="123" t="s">
        <v>164</v>
      </c>
      <c r="E27" s="122"/>
      <c r="F27" s="125">
        <v>15600</v>
      </c>
      <c r="G27" s="55">
        <v>9265.8206986020687</v>
      </c>
      <c r="H27" s="55">
        <v>2656.9198070849784</v>
      </c>
      <c r="I27" s="55">
        <v>2660.7985221318181</v>
      </c>
      <c r="J27" s="55">
        <v>1685.6075981793515</v>
      </c>
      <c r="K27" s="90">
        <v>0</v>
      </c>
      <c r="L27" s="55">
        <f>Table1[[#This Row],[Total direct expenditure Q1
(GBP)]]*Table1[[#This Row],[Overhead %]]</f>
        <v>0</v>
      </c>
      <c r="M27" s="55">
        <f>+Table1[[#This Row],[Total direct expenditure Q2
(GBP)2]]*Table1[[#This Row],[Overhead %]]</f>
        <v>0</v>
      </c>
      <c r="N27" s="55">
        <f>+Table1[[#This Row],[Total direct expenditure Q3
(GBP)3]]*Table1[[#This Row],[Overhead %]]</f>
        <v>0</v>
      </c>
      <c r="O27" s="55">
        <f>Table1[[#This Row],[Total direct expenditure Q1
(GBP)]]+Table1[[#This Row],[Overhead Q1 total]]</f>
        <v>9265.8206986020687</v>
      </c>
      <c r="P27" s="55">
        <f>+Table1[[#This Row],[Total direct expenditure Q2
(GBP)2]]+Table1[[#This Row],[Overhead Q2 total2]]</f>
        <v>2656.9198070849784</v>
      </c>
      <c r="Q27" s="59">
        <f>+Table1[[#This Row],[Total direct expenditure Q3
(GBP)3]]+Table1[[#This Row],[Overhead Q3 total3]]</f>
        <v>2660.7985221318181</v>
      </c>
      <c r="R27" s="59">
        <f>+Table1[[#This Row],[Total direct expenditure Q4
(GBP)4]]</f>
        <v>1685.6075981793515</v>
      </c>
      <c r="S27" s="59">
        <f>+Table1[[#This Row],[Actual total expenditure (Dec2023) Q1]]+Table1[[#This Row],[Actual total expenditure (Mar2024) Q2]]+Table1[[#This Row],[Actual total expenditure (Jun2024) Q3]]+Table1[[#This Row],[Actual total expenditure (Sep2024) Q4]]</f>
        <v>16269.146625998215</v>
      </c>
      <c r="T27" s="59">
        <f>+Table1[[#This Row],[Planned total expenditure
(GBP)]]-Table1[[#This Row],[Total expenditure Q1+Q2+Q3+Q4]]</f>
        <v>-669.14662599821531</v>
      </c>
      <c r="U27" s="149">
        <f t="shared" si="0"/>
        <v>1.0428940144870651</v>
      </c>
      <c r="V27" s="55"/>
      <c r="W27" s="55"/>
      <c r="X27" s="55"/>
      <c r="Y27" s="55"/>
      <c r="Z27" s="186"/>
    </row>
    <row r="28" spans="2:26" ht="24.6" customHeight="1">
      <c r="B28" s="56" t="s">
        <v>171</v>
      </c>
      <c r="C28" s="56" t="s">
        <v>172</v>
      </c>
      <c r="D28" s="123" t="s">
        <v>164</v>
      </c>
      <c r="E28" s="122"/>
      <c r="F28" s="125">
        <v>15600</v>
      </c>
      <c r="G28" s="55">
        <v>7247.9308575731729</v>
      </c>
      <c r="H28" s="55">
        <v>2078.259391275089</v>
      </c>
      <c r="I28" s="55">
        <v>2081.2928593922361</v>
      </c>
      <c r="J28" s="55">
        <v>4861.1965626210213</v>
      </c>
      <c r="K28" s="90">
        <v>0</v>
      </c>
      <c r="L28" s="55">
        <f>Table1[[#This Row],[Total direct expenditure Q1
(GBP)]]*Table1[[#This Row],[Overhead %]]</f>
        <v>0</v>
      </c>
      <c r="M28" s="55">
        <f>+Table1[[#This Row],[Total direct expenditure Q2
(GBP)2]]*Table1[[#This Row],[Overhead %]]</f>
        <v>0</v>
      </c>
      <c r="N28" s="55">
        <f>+Table1[[#This Row],[Total direct expenditure Q3
(GBP)3]]*Table1[[#This Row],[Overhead %]]</f>
        <v>0</v>
      </c>
      <c r="O28" s="55">
        <f>Table1[[#This Row],[Total direct expenditure Q1
(GBP)]]+Table1[[#This Row],[Overhead Q1 total]]</f>
        <v>7247.9308575731729</v>
      </c>
      <c r="P28" s="55">
        <f>+Table1[[#This Row],[Total direct expenditure Q2
(GBP)2]]+Table1[[#This Row],[Overhead Q2 total2]]</f>
        <v>2078.259391275089</v>
      </c>
      <c r="Q28" s="59">
        <f>+Table1[[#This Row],[Total direct expenditure Q3
(GBP)3]]+Table1[[#This Row],[Overhead Q3 total3]]</f>
        <v>2081.2928593922361</v>
      </c>
      <c r="R28" s="59">
        <f>+Table1[[#This Row],[Total direct expenditure Q4
(GBP)4]]</f>
        <v>4861.1965626210213</v>
      </c>
      <c r="S28" s="59">
        <f>+Table1[[#This Row],[Actual total expenditure (Dec2023) Q1]]+Table1[[#This Row],[Actual total expenditure (Mar2024) Q2]]+Table1[[#This Row],[Actual total expenditure (Jun2024) Q3]]+Table1[[#This Row],[Actual total expenditure (Sep2024) Q4]]</f>
        <v>16268.679670861522</v>
      </c>
      <c r="T28" s="59">
        <f>+Table1[[#This Row],[Planned total expenditure
(GBP)]]-Table1[[#This Row],[Total expenditure Q1+Q2+Q3+Q4]]</f>
        <v>-668.67967086152203</v>
      </c>
      <c r="U28" s="149">
        <f t="shared" si="0"/>
        <v>1.0428640814654822</v>
      </c>
      <c r="V28" s="55"/>
      <c r="W28" s="55"/>
      <c r="X28" s="55"/>
      <c r="Y28" s="55"/>
      <c r="Z28" s="186"/>
    </row>
    <row r="29" spans="2:26" ht="24.6" customHeight="1">
      <c r="B29" s="58" t="s">
        <v>173</v>
      </c>
      <c r="C29" s="58" t="s">
        <v>174</v>
      </c>
      <c r="D29" s="123" t="s">
        <v>164</v>
      </c>
      <c r="E29" s="123"/>
      <c r="F29" s="126">
        <v>15600</v>
      </c>
      <c r="G29" s="59">
        <v>6668.0776984713148</v>
      </c>
      <c r="H29" s="59">
        <v>1911.9833788325648</v>
      </c>
      <c r="I29" s="59">
        <v>1914.7744736443537</v>
      </c>
      <c r="J29" s="59">
        <v>5773.6419739162338</v>
      </c>
      <c r="K29" s="90">
        <v>0</v>
      </c>
      <c r="L29" s="59">
        <f>Table1[[#This Row],[Total direct expenditure Q1
(GBP)]]*Table1[[#This Row],[Overhead %]]</f>
        <v>0</v>
      </c>
      <c r="M29" s="59">
        <f>+Table1[[#This Row],[Total direct expenditure Q2
(GBP)2]]*Table1[[#This Row],[Overhead %]]</f>
        <v>0</v>
      </c>
      <c r="N29" s="59">
        <f>+Table1[[#This Row],[Total direct expenditure Q3
(GBP)3]]*Table1[[#This Row],[Overhead %]]</f>
        <v>0</v>
      </c>
      <c r="O29" s="59">
        <f>Table1[[#This Row],[Total direct expenditure Q1
(GBP)]]+Table1[[#This Row],[Overhead Q1 total]]</f>
        <v>6668.0776984713148</v>
      </c>
      <c r="P29" s="59">
        <f>+Table1[[#This Row],[Total direct expenditure Q2
(GBP)2]]+Table1[[#This Row],[Overhead Q2 total2]]</f>
        <v>1911.9833788325648</v>
      </c>
      <c r="Q29" s="59">
        <f>+Table1[[#This Row],[Total direct expenditure Q3
(GBP)3]]+Table1[[#This Row],[Overhead Q3 total3]]</f>
        <v>1914.7744736443537</v>
      </c>
      <c r="R29" s="59">
        <f>+Table1[[#This Row],[Total direct expenditure Q4
(GBP)4]]</f>
        <v>5773.6419739162338</v>
      </c>
      <c r="S29" s="59">
        <f>+Table1[[#This Row],[Actual total expenditure (Dec2023) Q1]]+Table1[[#This Row],[Actual total expenditure (Mar2024) Q2]]+Table1[[#This Row],[Actual total expenditure (Jun2024) Q3]]+Table1[[#This Row],[Actual total expenditure (Sep2024) Q4]]</f>
        <v>16268.477524864466</v>
      </c>
      <c r="T29" s="59">
        <f>+Table1[[#This Row],[Planned total expenditure
(GBP)]]-Table1[[#This Row],[Total expenditure Q1+Q2+Q3+Q4]]</f>
        <v>-668.47752486446552</v>
      </c>
      <c r="U29" s="149">
        <f t="shared" si="0"/>
        <v>1.0428511233887479</v>
      </c>
      <c r="V29" s="55"/>
      <c r="W29" s="55"/>
      <c r="X29" s="55"/>
      <c r="Y29" s="55"/>
      <c r="Z29" s="186"/>
    </row>
    <row r="30" spans="2:26" ht="24.6" customHeight="1">
      <c r="B30" s="56" t="s">
        <v>175</v>
      </c>
      <c r="C30" s="56" t="s">
        <v>176</v>
      </c>
      <c r="D30" s="123" t="s">
        <v>164</v>
      </c>
      <c r="E30" s="122"/>
      <c r="F30" s="125">
        <v>15600</v>
      </c>
      <c r="G30" s="55">
        <v>6668.0776984713148</v>
      </c>
      <c r="H30" s="59">
        <v>1911.9833788325648</v>
      </c>
      <c r="I30" s="59">
        <v>1914.7744736443537</v>
      </c>
      <c r="J30" s="59">
        <v>5773.6419739162338</v>
      </c>
      <c r="K30" s="90">
        <v>0</v>
      </c>
      <c r="L30" s="55">
        <f>Table1[[#This Row],[Total direct expenditure Q1
(GBP)]]*Table1[[#This Row],[Overhead %]]</f>
        <v>0</v>
      </c>
      <c r="M30" s="55">
        <f>+Table1[[#This Row],[Total direct expenditure Q2
(GBP)2]]*Table1[[#This Row],[Overhead %]]</f>
        <v>0</v>
      </c>
      <c r="N30" s="55">
        <f>+Table1[[#This Row],[Total direct expenditure Q3
(GBP)3]]*Table1[[#This Row],[Overhead %]]</f>
        <v>0</v>
      </c>
      <c r="O30" s="55">
        <f>Table1[[#This Row],[Total direct expenditure Q1
(GBP)]]+Table1[[#This Row],[Overhead Q1 total]]</f>
        <v>6668.0776984713148</v>
      </c>
      <c r="P30" s="55">
        <f>+Table1[[#This Row],[Total direct expenditure Q2
(GBP)2]]+Table1[[#This Row],[Overhead Q2 total2]]</f>
        <v>1911.9833788325648</v>
      </c>
      <c r="Q30" s="59">
        <f>+Table1[[#This Row],[Total direct expenditure Q3
(GBP)3]]+Table1[[#This Row],[Overhead Q3 total3]]</f>
        <v>1914.7744736443537</v>
      </c>
      <c r="R30" s="59">
        <f>+Table1[[#This Row],[Total direct expenditure Q4
(GBP)4]]</f>
        <v>5773.6419739162338</v>
      </c>
      <c r="S30" s="59">
        <f>+Table1[[#This Row],[Actual total expenditure (Dec2023) Q1]]+Table1[[#This Row],[Actual total expenditure (Mar2024) Q2]]+Table1[[#This Row],[Actual total expenditure (Jun2024) Q3]]+Table1[[#This Row],[Actual total expenditure (Sep2024) Q4]]</f>
        <v>16268.477524864466</v>
      </c>
      <c r="T30" s="59">
        <f>+Table1[[#This Row],[Planned total expenditure
(GBP)]]-Table1[[#This Row],[Total expenditure Q1+Q2+Q3+Q4]]</f>
        <v>-668.47752486446552</v>
      </c>
      <c r="U30" s="149">
        <f t="shared" si="0"/>
        <v>1.0428511233887479</v>
      </c>
      <c r="V30" s="55"/>
      <c r="W30" s="55"/>
      <c r="X30" s="55"/>
      <c r="Y30" s="55"/>
      <c r="Z30" s="186"/>
    </row>
    <row r="31" spans="2:26">
      <c r="B31" s="56" t="s">
        <v>177</v>
      </c>
      <c r="C31" s="56" t="s">
        <v>142</v>
      </c>
      <c r="D31" s="155" t="s">
        <v>118</v>
      </c>
      <c r="E31" s="122"/>
      <c r="F31" s="125">
        <v>4250</v>
      </c>
      <c r="G31" s="55">
        <v>0</v>
      </c>
      <c r="H31" s="55">
        <v>3308.1171729644498</v>
      </c>
      <c r="I31" s="55">
        <v>827.87822154734397</v>
      </c>
      <c r="J31" s="55">
        <v>180.14800971157297</v>
      </c>
      <c r="K31" s="90">
        <v>0</v>
      </c>
      <c r="L31" s="55">
        <f>Table1[[#This Row],[Total direct expenditure Q1
(GBP)]]*Table1[[#This Row],[Overhead %]]</f>
        <v>0</v>
      </c>
      <c r="M31" s="55">
        <f>+Table1[[#This Row],[Total direct expenditure Q2
(GBP)2]]*Table1[[#This Row],[Overhead %]]</f>
        <v>0</v>
      </c>
      <c r="N31" s="55">
        <f>+Table1[[#This Row],[Total direct expenditure Q3
(GBP)3]]*Table1[[#This Row],[Overhead %]]</f>
        <v>0</v>
      </c>
      <c r="O31" s="55">
        <f>Table1[[#This Row],[Total direct expenditure Q1
(GBP)]]+Table1[[#This Row],[Overhead Q1 total]]</f>
        <v>0</v>
      </c>
      <c r="P31" s="55">
        <f>+Table1[[#This Row],[Total direct expenditure Q2
(GBP)2]]+Table1[[#This Row],[Overhead Q2 total2]]</f>
        <v>3308.1171729644498</v>
      </c>
      <c r="Q31" s="59">
        <f>+Table1[[#This Row],[Total direct expenditure Q3
(GBP)3]]+Table1[[#This Row],[Overhead Q3 total3]]</f>
        <v>827.87822154734397</v>
      </c>
      <c r="R31" s="59">
        <f>+Table1[[#This Row],[Total direct expenditure Q4
(GBP)4]]</f>
        <v>180.14800971157297</v>
      </c>
      <c r="S31" s="59">
        <f>+Table1[[#This Row],[Actual total expenditure (Dec2023) Q1]]+Table1[[#This Row],[Actual total expenditure (Mar2024) Q2]]+Table1[[#This Row],[Actual total expenditure (Jun2024) Q3]]+Table1[[#This Row],[Actual total expenditure (Sep2024) Q4]]</f>
        <v>4316.1434042233668</v>
      </c>
      <c r="T31" s="59">
        <f>+Table1[[#This Row],[Planned total expenditure
(GBP)]]-Table1[[#This Row],[Total expenditure Q1+Q2+Q3+Q4]]</f>
        <v>-66.143404223366815</v>
      </c>
      <c r="U31" s="150">
        <f t="shared" si="0"/>
        <v>1.0155631539349099</v>
      </c>
      <c r="V31" s="152"/>
      <c r="W31" s="153"/>
      <c r="X31" s="55"/>
      <c r="Y31" s="55"/>
      <c r="Z31" s="186"/>
    </row>
    <row r="32" spans="2:26" ht="24.6" customHeight="1">
      <c r="B32" s="56" t="s">
        <v>178</v>
      </c>
      <c r="C32" s="56" t="s">
        <v>179</v>
      </c>
      <c r="D32" s="122" t="s">
        <v>132</v>
      </c>
      <c r="E32" s="122"/>
      <c r="F32" s="125">
        <v>2250</v>
      </c>
      <c r="G32" s="55">
        <v>0</v>
      </c>
      <c r="H32" s="55">
        <v>0</v>
      </c>
      <c r="I32" s="55">
        <v>1193.1134602067464</v>
      </c>
      <c r="J32" s="55">
        <v>1153.4328408019558</v>
      </c>
      <c r="K32" s="90">
        <v>0</v>
      </c>
      <c r="L32" s="55">
        <f>Table1[[#This Row],[Total direct expenditure Q1
(GBP)]]*Table1[[#This Row],[Overhead %]]</f>
        <v>0</v>
      </c>
      <c r="M32" s="55">
        <f>+Table1[[#This Row],[Total direct expenditure Q2
(GBP)2]]*Table1[[#This Row],[Overhead %]]</f>
        <v>0</v>
      </c>
      <c r="N32" s="55">
        <f>+Table1[[#This Row],[Total direct expenditure Q3
(GBP)3]]*Table1[[#This Row],[Overhead %]]</f>
        <v>0</v>
      </c>
      <c r="O32" s="55">
        <f>Table1[[#This Row],[Total direct expenditure Q1
(GBP)]]+Table1[[#This Row],[Overhead Q1 total]]</f>
        <v>0</v>
      </c>
      <c r="P32" s="55">
        <f>+Table1[[#This Row],[Total direct expenditure Q2
(GBP)2]]+Table1[[#This Row],[Overhead Q2 total2]]</f>
        <v>0</v>
      </c>
      <c r="Q32" s="59">
        <f>+Table1[[#This Row],[Total direct expenditure Q3
(GBP)3]]+Table1[[#This Row],[Overhead Q3 total3]]</f>
        <v>1193.1134602067464</v>
      </c>
      <c r="R32" s="59">
        <f>+Table1[[#This Row],[Total direct expenditure Q4
(GBP)4]]</f>
        <v>1153.4328408019558</v>
      </c>
      <c r="S32" s="59">
        <f>+Table1[[#This Row],[Actual total expenditure (Dec2023) Q1]]+Table1[[#This Row],[Actual total expenditure (Mar2024) Q2]]+Table1[[#This Row],[Actual total expenditure (Jun2024) Q3]]+Table1[[#This Row],[Actual total expenditure (Sep2024) Q4]]</f>
        <v>2346.5463010087024</v>
      </c>
      <c r="T32" s="59">
        <f>+Table1[[#This Row],[Planned total expenditure
(GBP)]]-Table1[[#This Row],[Total expenditure Q1+Q2+Q3+Q4]]</f>
        <v>-96.546301008702358</v>
      </c>
      <c r="U32" s="149">
        <f t="shared" si="0"/>
        <v>1.0429094671149788</v>
      </c>
      <c r="V32" s="55"/>
      <c r="W32" s="55"/>
      <c r="X32" s="55"/>
      <c r="Y32" s="55"/>
      <c r="Z32" s="186"/>
    </row>
    <row r="33" spans="2:26" ht="24.6" customHeight="1">
      <c r="B33" s="56" t="s">
        <v>180</v>
      </c>
      <c r="C33" s="56" t="s">
        <v>181</v>
      </c>
      <c r="D33" s="122" t="s">
        <v>132</v>
      </c>
      <c r="E33" s="122"/>
      <c r="F33" s="125">
        <v>2250</v>
      </c>
      <c r="G33" s="55">
        <v>0</v>
      </c>
      <c r="H33" s="55">
        <v>0</v>
      </c>
      <c r="I33" s="55">
        <v>0</v>
      </c>
      <c r="J33" s="55">
        <v>2346.5463010087024</v>
      </c>
      <c r="K33" s="90">
        <v>0</v>
      </c>
      <c r="L33" s="55">
        <f>Table1[[#This Row],[Total direct expenditure Q1
(GBP)]]*Table1[[#This Row],[Overhead %]]</f>
        <v>0</v>
      </c>
      <c r="M33" s="55">
        <f>+Table1[[#This Row],[Total direct expenditure Q2
(GBP)2]]*Table1[[#This Row],[Overhead %]]</f>
        <v>0</v>
      </c>
      <c r="N33" s="55">
        <f>+Table1[[#This Row],[Total direct expenditure Q3
(GBP)3]]*Table1[[#This Row],[Overhead %]]</f>
        <v>0</v>
      </c>
      <c r="O33" s="55">
        <f>Table1[[#This Row],[Total direct expenditure Q1
(GBP)]]+Table1[[#This Row],[Overhead Q1 total]]</f>
        <v>0</v>
      </c>
      <c r="P33" s="55">
        <f>+Table1[[#This Row],[Total direct expenditure Q2
(GBP)2]]+Table1[[#This Row],[Overhead Q2 total2]]</f>
        <v>0</v>
      </c>
      <c r="Q33" s="59">
        <f>+Table1[[#This Row],[Total direct expenditure Q3
(GBP)3]]+Table1[[#This Row],[Overhead Q3 total3]]</f>
        <v>0</v>
      </c>
      <c r="R33" s="59">
        <f>+Table1[[#This Row],[Total direct expenditure Q4
(GBP)4]]</f>
        <v>2346.5463010087024</v>
      </c>
      <c r="S33" s="59">
        <f>+Table1[[#This Row],[Actual total expenditure (Dec2023) Q1]]+Table1[[#This Row],[Actual total expenditure (Mar2024) Q2]]+Table1[[#This Row],[Actual total expenditure (Jun2024) Q3]]+Table1[[#This Row],[Actual total expenditure (Sep2024) Q4]]</f>
        <v>2346.5463010087024</v>
      </c>
      <c r="T33" s="59">
        <f>+Table1[[#This Row],[Planned total expenditure
(GBP)]]-Table1[[#This Row],[Total expenditure Q1+Q2+Q3+Q4]]</f>
        <v>-96.546301008702358</v>
      </c>
      <c r="U33" s="149">
        <f t="shared" si="0"/>
        <v>1.0429094671149788</v>
      </c>
      <c r="V33" s="55"/>
      <c r="W33" s="55"/>
      <c r="X33" s="55"/>
      <c r="Y33" s="55"/>
      <c r="Z33" s="186"/>
    </row>
    <row r="34" spans="2:26" ht="24.6" customHeight="1">
      <c r="B34" s="58" t="s">
        <v>182</v>
      </c>
      <c r="C34" s="58" t="s">
        <v>183</v>
      </c>
      <c r="D34" s="122" t="s">
        <v>132</v>
      </c>
      <c r="E34" s="123"/>
      <c r="F34" s="126">
        <v>11700</v>
      </c>
      <c r="G34" s="59">
        <v>0</v>
      </c>
      <c r="H34" s="59">
        <v>0</v>
      </c>
      <c r="I34" s="59">
        <v>0</v>
      </c>
      <c r="J34" s="59">
        <v>11678.88829190063</v>
      </c>
      <c r="K34" s="90">
        <v>0</v>
      </c>
      <c r="L34" s="59">
        <f>Table1[[#This Row],[Total direct expenditure Q1
(GBP)]]*Table1[[#This Row],[Overhead %]]</f>
        <v>0</v>
      </c>
      <c r="M34" s="59">
        <f>+Table1[[#This Row],[Total direct expenditure Q2
(GBP)2]]*Table1[[#This Row],[Overhead %]]</f>
        <v>0</v>
      </c>
      <c r="N34" s="59">
        <f>+Table1[[#This Row],[Total direct expenditure Q3
(GBP)3]]*Table1[[#This Row],[Overhead %]]</f>
        <v>0</v>
      </c>
      <c r="O34" s="59">
        <f>Table1[[#This Row],[Total direct expenditure Q1
(GBP)]]+Table1[[#This Row],[Overhead Q1 total]]</f>
        <v>0</v>
      </c>
      <c r="P34" s="59">
        <f>+Table1[[#This Row],[Total direct expenditure Q2
(GBP)2]]+Table1[[#This Row],[Overhead Q2 total2]]</f>
        <v>0</v>
      </c>
      <c r="Q34" s="59">
        <f>+Table1[[#This Row],[Total direct expenditure Q3
(GBP)3]]+Table1[[#This Row],[Overhead Q3 total3]]</f>
        <v>0</v>
      </c>
      <c r="R34" s="59">
        <f>+Table1[[#This Row],[Total direct expenditure Q4
(GBP)4]]</f>
        <v>11678.88829190063</v>
      </c>
      <c r="S34" s="59">
        <f>+Table1[[#This Row],[Actual total expenditure (Dec2023) Q1]]+Table1[[#This Row],[Actual total expenditure (Mar2024) Q2]]+Table1[[#This Row],[Actual total expenditure (Jun2024) Q3]]+Table1[[#This Row],[Actual total expenditure (Sep2024) Q4]]</f>
        <v>11678.88829190063</v>
      </c>
      <c r="T34" s="59">
        <f>+Table1[[#This Row],[Planned total expenditure
(GBP)]]-Table1[[#This Row],[Total expenditure Q1+Q2+Q3+Q4]]</f>
        <v>21.111708099369935</v>
      </c>
      <c r="U34" s="149">
        <f t="shared" si="0"/>
        <v>0.99819558050432733</v>
      </c>
      <c r="V34" s="145" t="s">
        <v>331</v>
      </c>
      <c r="W34" s="55" t="s">
        <v>133</v>
      </c>
      <c r="X34" s="55"/>
      <c r="Y34" s="55"/>
      <c r="Z34" s="195" t="s">
        <v>320</v>
      </c>
    </row>
    <row r="35" spans="2:26" ht="24.6" customHeight="1">
      <c r="B35" s="56" t="s">
        <v>184</v>
      </c>
      <c r="C35" s="56" t="s">
        <v>185</v>
      </c>
      <c r="D35" s="122" t="s">
        <v>118</v>
      </c>
      <c r="E35" s="122"/>
      <c r="F35" s="125">
        <v>2310</v>
      </c>
      <c r="G35" s="55">
        <v>0</v>
      </c>
      <c r="H35" s="55">
        <v>967.7409311207615</v>
      </c>
      <c r="I35" s="55">
        <v>0</v>
      </c>
      <c r="J35" s="55">
        <v>1438.008843073975</v>
      </c>
      <c r="K35" s="90">
        <v>0</v>
      </c>
      <c r="L35" s="55">
        <f>Table1[[#This Row],[Total direct expenditure Q1
(GBP)]]*Table1[[#This Row],[Overhead %]]</f>
        <v>0</v>
      </c>
      <c r="M35" s="55">
        <f>+Table1[[#This Row],[Total direct expenditure Q2
(GBP)2]]*Table1[[#This Row],[Overhead %]]</f>
        <v>0</v>
      </c>
      <c r="N35" s="55">
        <f>+Table1[[#This Row],[Total direct expenditure Q3
(GBP)3]]*Table1[[#This Row],[Overhead %]]</f>
        <v>0</v>
      </c>
      <c r="O35" s="55">
        <f>Table1[[#This Row],[Total direct expenditure Q1
(GBP)]]+Table1[[#This Row],[Overhead Q1 total]]</f>
        <v>0</v>
      </c>
      <c r="P35" s="55">
        <f>+Table1[[#This Row],[Total direct expenditure Q2
(GBP)2]]+Table1[[#This Row],[Overhead Q2 total2]]</f>
        <v>967.7409311207615</v>
      </c>
      <c r="Q35" s="59">
        <f>+Table1[[#This Row],[Total direct expenditure Q3
(GBP)3]]+Table1[[#This Row],[Overhead Q3 total3]]</f>
        <v>0</v>
      </c>
      <c r="R35" s="59">
        <f>+Table1[[#This Row],[Total direct expenditure Q4
(GBP)4]]</f>
        <v>1438.008843073975</v>
      </c>
      <c r="S35" s="59">
        <f>+Table1[[#This Row],[Actual total expenditure (Dec2023) Q1]]+Table1[[#This Row],[Actual total expenditure (Mar2024) Q2]]+Table1[[#This Row],[Actual total expenditure (Jun2024) Q3]]+Table1[[#This Row],[Actual total expenditure (Sep2024) Q4]]</f>
        <v>2405.7497741947363</v>
      </c>
      <c r="T35" s="59">
        <f>+Table1[[#This Row],[Planned total expenditure
(GBP)]]-Table1[[#This Row],[Total expenditure Q1+Q2+Q3+Q4]]</f>
        <v>-95.749774194736347</v>
      </c>
      <c r="U35" s="150">
        <f t="shared" si="0"/>
        <v>1.0414501186990202</v>
      </c>
      <c r="V35" s="55"/>
      <c r="W35" s="55"/>
      <c r="X35" s="55"/>
      <c r="Y35" s="55"/>
      <c r="Z35" s="186"/>
    </row>
    <row r="36" spans="2:26" ht="24.6" customHeight="1">
      <c r="B36" s="56" t="s">
        <v>186</v>
      </c>
      <c r="C36" s="56" t="s">
        <v>187</v>
      </c>
      <c r="D36" s="122" t="s">
        <v>118</v>
      </c>
      <c r="E36" s="122"/>
      <c r="F36" s="125">
        <v>920</v>
      </c>
      <c r="G36" s="55">
        <v>0</v>
      </c>
      <c r="H36" s="55">
        <v>514.21712428885439</v>
      </c>
      <c r="I36" s="55">
        <v>107.91570417034072</v>
      </c>
      <c r="J36" s="55">
        <v>305.8203626143403</v>
      </c>
      <c r="K36" s="90">
        <v>0</v>
      </c>
      <c r="L36" s="55">
        <f>Table1[[#This Row],[Total direct expenditure Q1
(GBP)]]*Table1[[#This Row],[Overhead %]]</f>
        <v>0</v>
      </c>
      <c r="M36" s="55">
        <f>+Table1[[#This Row],[Total direct expenditure Q2
(GBP)2]]*Table1[[#This Row],[Overhead %]]</f>
        <v>0</v>
      </c>
      <c r="N36" s="55">
        <f>+Table1[[#This Row],[Total direct expenditure Q3
(GBP)3]]*Table1[[#This Row],[Overhead %]]</f>
        <v>0</v>
      </c>
      <c r="O36" s="55">
        <f>Table1[[#This Row],[Total direct expenditure Q1
(GBP)]]+Table1[[#This Row],[Overhead Q1 total]]</f>
        <v>0</v>
      </c>
      <c r="P36" s="55">
        <f>+Table1[[#This Row],[Total direct expenditure Q2
(GBP)2]]+Table1[[#This Row],[Overhead Q2 total2]]</f>
        <v>514.21712428885439</v>
      </c>
      <c r="Q36" s="59">
        <f>+Table1[[#This Row],[Total direct expenditure Q3
(GBP)3]]+Table1[[#This Row],[Overhead Q3 total3]]</f>
        <v>107.91570417034072</v>
      </c>
      <c r="R36" s="59">
        <f>+Table1[[#This Row],[Total direct expenditure Q4
(GBP)4]]</f>
        <v>305.8203626143403</v>
      </c>
      <c r="S36" s="59">
        <f>+Table1[[#This Row],[Actual total expenditure (Dec2023) Q1]]+Table1[[#This Row],[Actual total expenditure (Mar2024) Q2]]+Table1[[#This Row],[Actual total expenditure (Jun2024) Q3]]+Table1[[#This Row],[Actual total expenditure (Sep2024) Q4]]</f>
        <v>927.95319107353544</v>
      </c>
      <c r="T36" s="59">
        <f>+Table1[[#This Row],[Planned total expenditure
(GBP)]]-Table1[[#This Row],[Total expenditure Q1+Q2+Q3+Q4]]</f>
        <v>-7.9531910735354359</v>
      </c>
      <c r="U36" s="149">
        <f t="shared" si="0"/>
        <v>1.0086447729060168</v>
      </c>
      <c r="V36" s="55"/>
      <c r="W36" s="55"/>
      <c r="X36" s="55"/>
      <c r="Y36" s="55"/>
      <c r="Z36" s="186"/>
    </row>
    <row r="37" spans="2:26" ht="24.6" customHeight="1">
      <c r="B37" s="56" t="s">
        <v>188</v>
      </c>
      <c r="C37" s="56" t="s">
        <v>189</v>
      </c>
      <c r="D37" s="122" t="s">
        <v>118</v>
      </c>
      <c r="E37" s="122"/>
      <c r="F37" s="125">
        <v>2800</v>
      </c>
      <c r="G37" s="55">
        <v>0</v>
      </c>
      <c r="H37" s="55">
        <v>602.58226573255388</v>
      </c>
      <c r="I37" s="55">
        <v>40.597039939748157</v>
      </c>
      <c r="J37" s="55">
        <v>2155.6919214378077</v>
      </c>
      <c r="K37" s="90">
        <v>0</v>
      </c>
      <c r="L37" s="55">
        <f>Table1[[#This Row],[Total direct expenditure Q1
(GBP)]]*Table1[[#This Row],[Overhead %]]</f>
        <v>0</v>
      </c>
      <c r="M37" s="55">
        <f>+Table1[[#This Row],[Total direct expenditure Q2
(GBP)2]]*Table1[[#This Row],[Overhead %]]</f>
        <v>0</v>
      </c>
      <c r="N37" s="55">
        <f>+Table1[[#This Row],[Total direct expenditure Q3
(GBP)3]]*Table1[[#This Row],[Overhead %]]</f>
        <v>0</v>
      </c>
      <c r="O37" s="55">
        <f>Table1[[#This Row],[Total direct expenditure Q1
(GBP)]]+Table1[[#This Row],[Overhead Q1 total]]</f>
        <v>0</v>
      </c>
      <c r="P37" s="55">
        <f>+Table1[[#This Row],[Total direct expenditure Q2
(GBP)2]]+Table1[[#This Row],[Overhead Q2 total2]]</f>
        <v>602.58226573255388</v>
      </c>
      <c r="Q37" s="59">
        <f>+Table1[[#This Row],[Total direct expenditure Q3
(GBP)3]]+Table1[[#This Row],[Overhead Q3 total3]]</f>
        <v>40.597039939748157</v>
      </c>
      <c r="R37" s="59">
        <f>+Table1[[#This Row],[Total direct expenditure Q4
(GBP)4]]</f>
        <v>2155.6919214378077</v>
      </c>
      <c r="S37" s="59">
        <f>+Table1[[#This Row],[Actual total expenditure (Dec2023) Q1]]+Table1[[#This Row],[Actual total expenditure (Mar2024) Q2]]+Table1[[#This Row],[Actual total expenditure (Jun2024) Q3]]+Table1[[#This Row],[Actual total expenditure (Sep2024) Q4]]</f>
        <v>2798.8712271101094</v>
      </c>
      <c r="T37" s="59">
        <f>+Table1[[#This Row],[Planned total expenditure
(GBP)]]-Table1[[#This Row],[Total expenditure Q1+Q2+Q3+Q4]]</f>
        <v>1.1287728898905698</v>
      </c>
      <c r="U37" s="149">
        <f t="shared" si="0"/>
        <v>0.99959686682503912</v>
      </c>
      <c r="V37" s="55"/>
      <c r="W37" s="55"/>
      <c r="X37" s="55"/>
      <c r="Y37" s="55"/>
      <c r="Z37" s="186"/>
    </row>
    <row r="38" spans="2:26" ht="24.6" customHeight="1">
      <c r="B38" s="56" t="s">
        <v>190</v>
      </c>
      <c r="C38" s="56" t="s">
        <v>191</v>
      </c>
      <c r="D38" s="122" t="s">
        <v>132</v>
      </c>
      <c r="E38" s="122"/>
      <c r="F38" s="125">
        <v>7040</v>
      </c>
      <c r="G38" s="55">
        <v>0</v>
      </c>
      <c r="H38" s="55">
        <v>0</v>
      </c>
      <c r="I38" s="55">
        <v>0</v>
      </c>
      <c r="J38" s="55">
        <v>7342.0826484894505</v>
      </c>
      <c r="K38" s="90">
        <v>0</v>
      </c>
      <c r="L38" s="55">
        <f>Table1[[#This Row],[Total direct expenditure Q1
(GBP)]]*Table1[[#This Row],[Overhead %]]</f>
        <v>0</v>
      </c>
      <c r="M38" s="55">
        <f>+Table1[[#This Row],[Total direct expenditure Q2
(GBP)2]]*Table1[[#This Row],[Overhead %]]</f>
        <v>0</v>
      </c>
      <c r="N38" s="55">
        <f>+Table1[[#This Row],[Total direct expenditure Q3
(GBP)3]]*Table1[[#This Row],[Overhead %]]</f>
        <v>0</v>
      </c>
      <c r="O38" s="55">
        <f>Table1[[#This Row],[Total direct expenditure Q1
(GBP)]]+Table1[[#This Row],[Overhead Q1 total]]</f>
        <v>0</v>
      </c>
      <c r="P38" s="55">
        <f>+Table1[[#This Row],[Total direct expenditure Q2
(GBP)2]]+Table1[[#This Row],[Overhead Q2 total2]]</f>
        <v>0</v>
      </c>
      <c r="Q38" s="59">
        <f>+Table1[[#This Row],[Total direct expenditure Q3
(GBP)3]]+Table1[[#This Row],[Overhead Q3 total3]]</f>
        <v>0</v>
      </c>
      <c r="R38" s="59">
        <f>+Table1[[#This Row],[Total direct expenditure Q4
(GBP)4]]</f>
        <v>7342.0826484894505</v>
      </c>
      <c r="S38" s="59">
        <f>+Table1[[#This Row],[Actual total expenditure (Dec2023) Q1]]+Table1[[#This Row],[Actual total expenditure (Mar2024) Q2]]+Table1[[#This Row],[Actual total expenditure (Jun2024) Q3]]+Table1[[#This Row],[Actual total expenditure (Sep2024) Q4]]</f>
        <v>7342.0826484894505</v>
      </c>
      <c r="T38" s="59">
        <f>+Table1[[#This Row],[Planned total expenditure
(GBP)]]-Table1[[#This Row],[Total expenditure Q1+Q2+Q3+Q4]]</f>
        <v>-302.08264848945055</v>
      </c>
      <c r="U38" s="149">
        <f t="shared" si="0"/>
        <v>1.0429094671149788</v>
      </c>
      <c r="V38" s="55"/>
      <c r="W38" s="55"/>
      <c r="X38" s="55"/>
      <c r="Y38" s="55"/>
      <c r="Z38" s="186"/>
    </row>
    <row r="39" spans="2:26" ht="24.6" customHeight="1">
      <c r="B39" s="56" t="s">
        <v>192</v>
      </c>
      <c r="C39" s="56" t="s">
        <v>193</v>
      </c>
      <c r="D39" s="123" t="s">
        <v>164</v>
      </c>
      <c r="E39" s="122"/>
      <c r="F39" s="125">
        <v>12000</v>
      </c>
      <c r="G39" s="55">
        <v>8917.6184953736538</v>
      </c>
      <c r="H39" s="55">
        <v>2536.3057643692073</v>
      </c>
      <c r="I39" s="55">
        <v>0</v>
      </c>
      <c r="J39" s="55">
        <v>1060.9893456368841</v>
      </c>
      <c r="K39" s="90">
        <v>0</v>
      </c>
      <c r="L39" s="55">
        <f>Table1[[#This Row],[Total direct expenditure Q1
(GBP)]]*Table1[[#This Row],[Overhead %]]</f>
        <v>0</v>
      </c>
      <c r="M39" s="55">
        <f>+Table1[[#This Row],[Total direct expenditure Q2
(GBP)2]]*Table1[[#This Row],[Overhead %]]</f>
        <v>0</v>
      </c>
      <c r="N39" s="55">
        <f>+Table1[[#This Row],[Total direct expenditure Q3
(GBP)3]]*Table1[[#This Row],[Overhead %]]</f>
        <v>0</v>
      </c>
      <c r="O39" s="55">
        <f>Table1[[#This Row],[Total direct expenditure Q1
(GBP)]]+Table1[[#This Row],[Overhead Q1 total]]</f>
        <v>8917.6184953736538</v>
      </c>
      <c r="P39" s="55">
        <f>+Table1[[#This Row],[Total direct expenditure Q2
(GBP)2]]+Table1[[#This Row],[Overhead Q2 total2]]</f>
        <v>2536.3057643692073</v>
      </c>
      <c r="Q39" s="59">
        <f>+Table1[[#This Row],[Total direct expenditure Q3
(GBP)3]]+Table1[[#This Row],[Overhead Q3 total3]]</f>
        <v>0</v>
      </c>
      <c r="R39" s="59">
        <f>+Table1[[#This Row],[Total direct expenditure Q4
(GBP)4]]</f>
        <v>1060.9893456368841</v>
      </c>
      <c r="S39" s="59">
        <f>+Table1[[#This Row],[Actual total expenditure (Dec2023) Q1]]+Table1[[#This Row],[Actual total expenditure (Mar2024) Q2]]+Table1[[#This Row],[Actual total expenditure (Jun2024) Q3]]+Table1[[#This Row],[Actual total expenditure (Sep2024) Q4]]</f>
        <v>12514.913605379745</v>
      </c>
      <c r="T39" s="59">
        <f>+Table1[[#This Row],[Planned total expenditure
(GBP)]]-Table1[[#This Row],[Total expenditure Q1+Q2+Q3+Q4]]</f>
        <v>-514.91360537974469</v>
      </c>
      <c r="U39" s="149">
        <f t="shared" si="0"/>
        <v>1.0429094671149788</v>
      </c>
      <c r="V39" s="55"/>
      <c r="W39" s="55"/>
      <c r="X39" s="55"/>
      <c r="Y39" s="55"/>
      <c r="Z39" s="186"/>
    </row>
    <row r="40" spans="2:26" ht="24.6" customHeight="1">
      <c r="B40" s="56" t="s">
        <v>194</v>
      </c>
      <c r="C40" s="56" t="s">
        <v>195</v>
      </c>
      <c r="D40" s="122" t="s">
        <v>132</v>
      </c>
      <c r="E40" s="122"/>
      <c r="F40" s="125">
        <v>7500</v>
      </c>
      <c r="G40" s="55">
        <v>0</v>
      </c>
      <c r="H40" s="55">
        <v>0</v>
      </c>
      <c r="I40" s="55">
        <v>0</v>
      </c>
      <c r="J40" s="55">
        <f>1654.99108627591+6153.17</f>
        <v>7808.1610862759098</v>
      </c>
      <c r="K40" s="90">
        <v>0</v>
      </c>
      <c r="L40" s="55">
        <f>Table1[[#This Row],[Total direct expenditure Q1
(GBP)]]*Table1[[#This Row],[Overhead %]]</f>
        <v>0</v>
      </c>
      <c r="M40" s="55">
        <f>+Table1[[#This Row],[Total direct expenditure Q2
(GBP)2]]*Table1[[#This Row],[Overhead %]]</f>
        <v>0</v>
      </c>
      <c r="N40" s="55">
        <f>+Table1[[#This Row],[Total direct expenditure Q3
(GBP)3]]*Table1[[#This Row],[Overhead %]]</f>
        <v>0</v>
      </c>
      <c r="O40" s="55">
        <f>Table1[[#This Row],[Total direct expenditure Q1
(GBP)]]+Table1[[#This Row],[Overhead Q1 total]]</f>
        <v>0</v>
      </c>
      <c r="P40" s="55">
        <f>+Table1[[#This Row],[Total direct expenditure Q2
(GBP)2]]+Table1[[#This Row],[Overhead Q2 total2]]</f>
        <v>0</v>
      </c>
      <c r="Q40" s="59">
        <f>+Table1[[#This Row],[Total direct expenditure Q3
(GBP)3]]+Table1[[#This Row],[Overhead Q3 total3]]</f>
        <v>0</v>
      </c>
      <c r="R40" s="59">
        <f>+Table1[[#This Row],[Total direct expenditure Q4
(GBP)4]]</f>
        <v>7808.1610862759098</v>
      </c>
      <c r="S40" s="59">
        <f>+Table1[[#This Row],[Actual total expenditure (Dec2023) Q1]]+Table1[[#This Row],[Actual total expenditure (Mar2024) Q2]]+Table1[[#This Row],[Actual total expenditure (Jun2024) Q3]]+Table1[[#This Row],[Actual total expenditure (Sep2024) Q4]]</f>
        <v>7808.1610862759098</v>
      </c>
      <c r="T40" s="59">
        <f>+Table1[[#This Row],[Planned total expenditure
(GBP)]]-Table1[[#This Row],[Total expenditure Q1+Q2+Q3+Q4]]</f>
        <v>-308.16108627590984</v>
      </c>
      <c r="U40" s="149">
        <f t="shared" si="0"/>
        <v>1.0410881448367879</v>
      </c>
      <c r="V40" s="55"/>
      <c r="W40" s="55"/>
      <c r="X40" s="55"/>
      <c r="Y40" s="55"/>
      <c r="Z40" s="186"/>
    </row>
    <row r="41" spans="2:26">
      <c r="B41" s="56" t="s">
        <v>196</v>
      </c>
      <c r="C41" s="56" t="s">
        <v>197</v>
      </c>
      <c r="D41" s="155" t="s">
        <v>118</v>
      </c>
      <c r="E41" s="122"/>
      <c r="F41" s="125">
        <v>4800</v>
      </c>
      <c r="G41" s="55">
        <v>2263.6903168600447</v>
      </c>
      <c r="H41" s="55">
        <v>2612.8636625311829</v>
      </c>
      <c r="I41" s="55">
        <v>0</v>
      </c>
      <c r="J41" s="55">
        <v>129.47848811938468</v>
      </c>
      <c r="K41" s="90">
        <v>0</v>
      </c>
      <c r="L41" s="55">
        <f>Table1[[#This Row],[Total direct expenditure Q1
(GBP)]]*Table1[[#This Row],[Overhead %]]</f>
        <v>0</v>
      </c>
      <c r="M41" s="55">
        <f>+Table1[[#This Row],[Total direct expenditure Q2
(GBP)2]]*Table1[[#This Row],[Overhead %]]</f>
        <v>0</v>
      </c>
      <c r="N41" s="55">
        <f>+Table1[[#This Row],[Total direct expenditure Q3
(GBP)3]]*Table1[[#This Row],[Overhead %]]</f>
        <v>0</v>
      </c>
      <c r="O41" s="55">
        <f>Table1[[#This Row],[Total direct expenditure Q1
(GBP)]]+Table1[[#This Row],[Overhead Q1 total]]</f>
        <v>2263.6903168600447</v>
      </c>
      <c r="P41" s="55">
        <f>+Table1[[#This Row],[Total direct expenditure Q2
(GBP)2]]+Table1[[#This Row],[Overhead Q2 total2]]</f>
        <v>2612.8636625311829</v>
      </c>
      <c r="Q41" s="59">
        <f>+Table1[[#This Row],[Total direct expenditure Q3
(GBP)3]]+Table1[[#This Row],[Overhead Q3 total3]]</f>
        <v>0</v>
      </c>
      <c r="R41" s="59">
        <f>+Table1[[#This Row],[Total direct expenditure Q4
(GBP)4]]</f>
        <v>129.47848811938468</v>
      </c>
      <c r="S41" s="59">
        <f>+Table1[[#This Row],[Actual total expenditure (Dec2023) Q1]]+Table1[[#This Row],[Actual total expenditure (Mar2024) Q2]]+Table1[[#This Row],[Actual total expenditure (Jun2024) Q3]]+Table1[[#This Row],[Actual total expenditure (Sep2024) Q4]]</f>
        <v>5006.0324675106122</v>
      </c>
      <c r="T41" s="59">
        <f>+Table1[[#This Row],[Planned total expenditure
(GBP)]]-Table1[[#This Row],[Total expenditure Q1+Q2+Q3+Q4]]</f>
        <v>-206.03246751061215</v>
      </c>
      <c r="U41" s="150">
        <f t="shared" si="0"/>
        <v>1.0429234307313775</v>
      </c>
      <c r="V41" s="152"/>
      <c r="W41" s="145"/>
      <c r="X41" s="55"/>
      <c r="Y41" s="186"/>
      <c r="Z41" s="186"/>
    </row>
    <row r="42" spans="2:26" ht="24.6" customHeight="1">
      <c r="B42" s="56" t="s">
        <v>198</v>
      </c>
      <c r="C42" s="56" t="s">
        <v>199</v>
      </c>
      <c r="D42" s="123" t="s">
        <v>164</v>
      </c>
      <c r="E42" s="122"/>
      <c r="F42" s="125">
        <v>9450</v>
      </c>
      <c r="G42" s="55">
        <v>2026.007399076974</v>
      </c>
      <c r="H42" s="55">
        <v>625.68122055848335</v>
      </c>
      <c r="I42" s="55">
        <v>2004.9451874189006</v>
      </c>
      <c r="J42" s="55">
        <v>5109.4203575869569</v>
      </c>
      <c r="K42" s="90">
        <v>0</v>
      </c>
      <c r="L42" s="55">
        <f>Table1[[#This Row],[Total direct expenditure Q1
(GBP)]]*Table1[[#This Row],[Overhead %]]</f>
        <v>0</v>
      </c>
      <c r="M42" s="55">
        <f>+Table1[[#This Row],[Total direct expenditure Q2
(GBP)2]]*Table1[[#This Row],[Overhead %]]</f>
        <v>0</v>
      </c>
      <c r="N42" s="55">
        <f>+Table1[[#This Row],[Total direct expenditure Q3
(GBP)3]]*Table1[[#This Row],[Overhead %]]</f>
        <v>0</v>
      </c>
      <c r="O42" s="55">
        <f>Table1[[#This Row],[Total direct expenditure Q1
(GBP)]]+Table1[[#This Row],[Overhead Q1 total]]</f>
        <v>2026.007399076974</v>
      </c>
      <c r="P42" s="55">
        <f>+Table1[[#This Row],[Total direct expenditure Q2
(GBP)2]]+Table1[[#This Row],[Overhead Q2 total2]]</f>
        <v>625.68122055848335</v>
      </c>
      <c r="Q42" s="59">
        <f>+Table1[[#This Row],[Total direct expenditure Q3
(GBP)3]]+Table1[[#This Row],[Overhead Q3 total3]]</f>
        <v>2004.9451874189006</v>
      </c>
      <c r="R42" s="59">
        <f>+Table1[[#This Row],[Total direct expenditure Q4
(GBP)4]]</f>
        <v>5109.4203575869569</v>
      </c>
      <c r="S42" s="59">
        <f>+Table1[[#This Row],[Actual total expenditure (Dec2023) Q1]]+Table1[[#This Row],[Actual total expenditure (Mar2024) Q2]]+Table1[[#This Row],[Actual total expenditure (Jun2024) Q3]]+Table1[[#This Row],[Actual total expenditure (Sep2024) Q4]]</f>
        <v>9766.0541646413149</v>
      </c>
      <c r="T42" s="59">
        <f>+Table1[[#This Row],[Planned total expenditure
(GBP)]]-Table1[[#This Row],[Total expenditure Q1+Q2+Q3+Q4]]</f>
        <v>-316.05416464131486</v>
      </c>
      <c r="U42" s="149">
        <f t="shared" si="0"/>
        <v>1.0334448851472291</v>
      </c>
      <c r="V42" s="55"/>
      <c r="W42" s="55"/>
      <c r="X42" s="55"/>
      <c r="Y42" s="55"/>
      <c r="Z42" s="186"/>
    </row>
    <row r="43" spans="2:26" ht="24.6" customHeight="1">
      <c r="B43" s="56" t="s">
        <v>200</v>
      </c>
      <c r="C43" s="56" t="s">
        <v>142</v>
      </c>
      <c r="D43" s="122" t="s">
        <v>132</v>
      </c>
      <c r="E43" s="122"/>
      <c r="F43" s="125">
        <v>2050</v>
      </c>
      <c r="G43" s="55">
        <v>0</v>
      </c>
      <c r="H43" s="55">
        <v>0</v>
      </c>
      <c r="I43" s="55">
        <v>1698.3572090074006</v>
      </c>
      <c r="J43" s="55">
        <v>416.91348857388397</v>
      </c>
      <c r="K43" s="90">
        <v>0</v>
      </c>
      <c r="L43" s="55">
        <f>Table1[[#This Row],[Total direct expenditure Q1
(GBP)]]*Table1[[#This Row],[Overhead %]]</f>
        <v>0</v>
      </c>
      <c r="M43" s="55">
        <f>+Table1[[#This Row],[Total direct expenditure Q2
(GBP)2]]*Table1[[#This Row],[Overhead %]]</f>
        <v>0</v>
      </c>
      <c r="N43" s="55">
        <f>+Table1[[#This Row],[Total direct expenditure Q3
(GBP)3]]*Table1[[#This Row],[Overhead %]]</f>
        <v>0</v>
      </c>
      <c r="O43" s="55">
        <f>Table1[[#This Row],[Total direct expenditure Q1
(GBP)]]+Table1[[#This Row],[Overhead Q1 total]]</f>
        <v>0</v>
      </c>
      <c r="P43" s="55">
        <f>+Table1[[#This Row],[Total direct expenditure Q2
(GBP)2]]+Table1[[#This Row],[Overhead Q2 total2]]</f>
        <v>0</v>
      </c>
      <c r="Q43" s="59">
        <f>+Table1[[#This Row],[Total direct expenditure Q3
(GBP)3]]+Table1[[#This Row],[Overhead Q3 total3]]</f>
        <v>1698.3572090074006</v>
      </c>
      <c r="R43" s="59">
        <f>+Table1[[#This Row],[Total direct expenditure Q4
(GBP)4]]</f>
        <v>416.91348857388397</v>
      </c>
      <c r="S43" s="59">
        <f>+Table1[[#This Row],[Actual total expenditure (Dec2023) Q1]]+Table1[[#This Row],[Actual total expenditure (Mar2024) Q2]]+Table1[[#This Row],[Actual total expenditure (Jun2024) Q3]]+Table1[[#This Row],[Actual total expenditure (Sep2024) Q4]]</f>
        <v>2115.2706975812844</v>
      </c>
      <c r="T43" s="59">
        <f>+Table1[[#This Row],[Planned total expenditure
(GBP)]]-Table1[[#This Row],[Total expenditure Q1+Q2+Q3+Q4]]</f>
        <v>-65.270697581284367</v>
      </c>
      <c r="U43" s="149">
        <f t="shared" si="0"/>
        <v>1.0318393646737973</v>
      </c>
      <c r="V43" s="55"/>
      <c r="W43" s="55"/>
      <c r="X43" s="55"/>
      <c r="Y43" s="55"/>
      <c r="Z43" s="186"/>
    </row>
    <row r="44" spans="2:26" ht="24.6" customHeight="1">
      <c r="B44" s="56" t="s">
        <v>201</v>
      </c>
      <c r="C44" s="56" t="s">
        <v>202</v>
      </c>
      <c r="D44" s="122" t="s">
        <v>132</v>
      </c>
      <c r="E44" s="122"/>
      <c r="F44" s="125">
        <v>1250</v>
      </c>
      <c r="G44" s="55">
        <v>0</v>
      </c>
      <c r="H44" s="55">
        <v>0</v>
      </c>
      <c r="I44" s="55">
        <v>0</v>
      </c>
      <c r="J44" s="55">
        <v>1303.6368338937234</v>
      </c>
      <c r="K44" s="90">
        <v>0</v>
      </c>
      <c r="L44" s="55">
        <f>Table1[[#This Row],[Total direct expenditure Q1
(GBP)]]*Table1[[#This Row],[Overhead %]]</f>
        <v>0</v>
      </c>
      <c r="M44" s="55">
        <f>+Table1[[#This Row],[Total direct expenditure Q2
(GBP)2]]*Table1[[#This Row],[Overhead %]]</f>
        <v>0</v>
      </c>
      <c r="N44" s="55">
        <f>+Table1[[#This Row],[Total direct expenditure Q3
(GBP)3]]*Table1[[#This Row],[Overhead %]]</f>
        <v>0</v>
      </c>
      <c r="O44" s="55">
        <f>Table1[[#This Row],[Total direct expenditure Q1
(GBP)]]+Table1[[#This Row],[Overhead Q1 total]]</f>
        <v>0</v>
      </c>
      <c r="P44" s="55">
        <f>+Table1[[#This Row],[Total direct expenditure Q2
(GBP)2]]+Table1[[#This Row],[Overhead Q2 total2]]</f>
        <v>0</v>
      </c>
      <c r="Q44" s="59">
        <f>+Table1[[#This Row],[Total direct expenditure Q3
(GBP)3]]+Table1[[#This Row],[Overhead Q3 total3]]</f>
        <v>0</v>
      </c>
      <c r="R44" s="59">
        <f>+Table1[[#This Row],[Total direct expenditure Q4
(GBP)4]]</f>
        <v>1303.6368338937234</v>
      </c>
      <c r="S44" s="59">
        <f>+Table1[[#This Row],[Actual total expenditure (Dec2023) Q1]]+Table1[[#This Row],[Actual total expenditure (Mar2024) Q2]]+Table1[[#This Row],[Actual total expenditure (Jun2024) Q3]]+Table1[[#This Row],[Actual total expenditure (Sep2024) Q4]]</f>
        <v>1303.6368338937234</v>
      </c>
      <c r="T44" s="59">
        <f>+Table1[[#This Row],[Planned total expenditure
(GBP)]]-Table1[[#This Row],[Total expenditure Q1+Q2+Q3+Q4]]</f>
        <v>-53.636833893723406</v>
      </c>
      <c r="U44" s="149">
        <f t="shared" si="0"/>
        <v>1.0429094671149788</v>
      </c>
      <c r="V44" s="55"/>
      <c r="W44" s="55"/>
      <c r="X44" s="55"/>
      <c r="Y44" s="55"/>
      <c r="Z44" s="186"/>
    </row>
    <row r="45" spans="2:26" ht="24.6" customHeight="1">
      <c r="B45" s="56" t="s">
        <v>203</v>
      </c>
      <c r="C45" s="56" t="s">
        <v>204</v>
      </c>
      <c r="D45" s="122" t="s">
        <v>132</v>
      </c>
      <c r="E45" s="122"/>
      <c r="F45" s="125">
        <v>2250</v>
      </c>
      <c r="G45" s="55">
        <v>0</v>
      </c>
      <c r="H45" s="55">
        <v>0</v>
      </c>
      <c r="I45" s="55">
        <v>0</v>
      </c>
      <c r="J45" s="55">
        <v>2372.3019932085735</v>
      </c>
      <c r="K45" s="90">
        <v>0</v>
      </c>
      <c r="L45" s="55">
        <f>Table1[[#This Row],[Total direct expenditure Q1
(GBP)]]*Table1[[#This Row],[Overhead %]]</f>
        <v>0</v>
      </c>
      <c r="M45" s="55">
        <f>+Table1[[#This Row],[Total direct expenditure Q2
(GBP)2]]*Table1[[#This Row],[Overhead %]]</f>
        <v>0</v>
      </c>
      <c r="N45" s="55">
        <f>+Table1[[#This Row],[Total direct expenditure Q3
(GBP)3]]*Table1[[#This Row],[Overhead %]]</f>
        <v>0</v>
      </c>
      <c r="O45" s="55">
        <f>Table1[[#This Row],[Total direct expenditure Q1
(GBP)]]+Table1[[#This Row],[Overhead Q1 total]]</f>
        <v>0</v>
      </c>
      <c r="P45" s="55">
        <f>+Table1[[#This Row],[Total direct expenditure Q2
(GBP)2]]+Table1[[#This Row],[Overhead Q2 total2]]</f>
        <v>0</v>
      </c>
      <c r="Q45" s="59">
        <f>+Table1[[#This Row],[Total direct expenditure Q3
(GBP)3]]+Table1[[#This Row],[Overhead Q3 total3]]</f>
        <v>0</v>
      </c>
      <c r="R45" s="59">
        <f>+Table1[[#This Row],[Total direct expenditure Q4
(GBP)4]]</f>
        <v>2372.3019932085735</v>
      </c>
      <c r="S45" s="59">
        <f>+Table1[[#This Row],[Actual total expenditure (Dec2023) Q1]]+Table1[[#This Row],[Actual total expenditure (Mar2024) Q2]]+Table1[[#This Row],[Actual total expenditure (Jun2024) Q3]]+Table1[[#This Row],[Actual total expenditure (Sep2024) Q4]]</f>
        <v>2372.3019932085735</v>
      </c>
      <c r="T45" s="59">
        <f>+Table1[[#This Row],[Planned total expenditure
(GBP)]]-Table1[[#This Row],[Total expenditure Q1+Q2+Q3+Q4]]</f>
        <v>-122.30199320857355</v>
      </c>
      <c r="U45" s="149">
        <f t="shared" si="0"/>
        <v>1.0543564414260327</v>
      </c>
      <c r="V45" s="55"/>
      <c r="W45" s="55"/>
      <c r="X45" s="55"/>
      <c r="Y45" s="55"/>
      <c r="Z45" s="186"/>
    </row>
    <row r="46" spans="2:26" ht="24.6" customHeight="1" thickBot="1">
      <c r="B46" s="56" t="s">
        <v>205</v>
      </c>
      <c r="C46" s="56" t="s">
        <v>206</v>
      </c>
      <c r="D46" s="122" t="s">
        <v>118</v>
      </c>
      <c r="E46" s="122"/>
      <c r="F46" s="125">
        <v>9200</v>
      </c>
      <c r="G46" s="55">
        <v>0</v>
      </c>
      <c r="H46" s="55">
        <v>4772.2869753122477</v>
      </c>
      <c r="I46" s="55">
        <v>3183.1265591496535</v>
      </c>
      <c r="J46" s="55">
        <v>1591.9637568101989</v>
      </c>
      <c r="K46" s="90">
        <v>0</v>
      </c>
      <c r="L46" s="55">
        <f>Table1[[#This Row],[Total direct expenditure Q1
(GBP)]]*Table1[[#This Row],[Overhead %]]</f>
        <v>0</v>
      </c>
      <c r="M46" s="55">
        <f>+Table1[[#This Row],[Total direct expenditure Q2
(GBP)2]]*Table1[[#This Row],[Overhead %]]</f>
        <v>0</v>
      </c>
      <c r="N46" s="55">
        <f>+Table1[[#This Row],[Total direct expenditure Q3
(GBP)3]]*Table1[[#This Row],[Overhead %]]</f>
        <v>0</v>
      </c>
      <c r="O46" s="55">
        <f>Table1[[#This Row],[Total direct expenditure Q1
(GBP)]]+Table1[[#This Row],[Overhead Q1 total]]</f>
        <v>0</v>
      </c>
      <c r="P46" s="59">
        <f>+Table1[[#This Row],[Total direct expenditure Q2
(GBP)2]]+Table1[[#This Row],[Overhead Q2 total2]]</f>
        <v>4772.2869753122477</v>
      </c>
      <c r="Q46" s="59">
        <f>+Table1[[#This Row],[Total direct expenditure Q3
(GBP)3]]+Table1[[#This Row],[Overhead Q3 total3]]</f>
        <v>3183.1265591496535</v>
      </c>
      <c r="R46" s="59">
        <f>+Table1[[#This Row],[Total direct expenditure Q4
(GBP)4]]</f>
        <v>1591.9637568101989</v>
      </c>
      <c r="S46" s="59">
        <f>+Table1[[#This Row],[Actual total expenditure (Dec2023) Q1]]+Table1[[#This Row],[Actual total expenditure (Mar2024) Q2]]+Table1[[#This Row],[Actual total expenditure (Jun2024) Q3]]+Table1[[#This Row],[Actual total expenditure (Sep2024) Q4]]</f>
        <v>9547.3772912720997</v>
      </c>
      <c r="T46" s="59">
        <f>+Table1[[#This Row],[Planned total expenditure
(GBP)]]-Table1[[#This Row],[Total expenditure Q1+Q2+Q3+Q4]]</f>
        <v>-347.37729127209968</v>
      </c>
      <c r="U46" s="149">
        <f>S46/F46</f>
        <v>1.0377584012252283</v>
      </c>
      <c r="V46" s="55"/>
      <c r="W46" s="55"/>
      <c r="X46" s="55"/>
      <c r="Y46" s="55"/>
      <c r="Z46" s="186"/>
    </row>
    <row r="47" spans="2:26" ht="15.75" thickBot="1">
      <c r="B47" s="183"/>
      <c r="C47" s="184" t="s">
        <v>38</v>
      </c>
      <c r="D47" s="185"/>
      <c r="E47" s="185"/>
      <c r="F47" s="182">
        <f>+SUM(Table1[Planned total expenditure
(GBP)])</f>
        <v>400253</v>
      </c>
      <c r="G47" s="118">
        <f>SUBTOTAL(9,Table1[Total direct expenditure Q1
(GBP)])</f>
        <v>66786.775383473811</v>
      </c>
      <c r="H47" s="118">
        <f>+SUM(Table1[Total direct expenditure Q2
(GBP)2])</f>
        <v>96437.167751239831</v>
      </c>
      <c r="I47" s="118">
        <f>+SUM(Table1[Total direct expenditure Q3
(GBP)3])</f>
        <v>42696.935868040826</v>
      </c>
      <c r="J47" s="118">
        <f>+SUM(Table1[Total direct expenditure Q4
(GBP)4])</f>
        <v>194038.31946959012</v>
      </c>
      <c r="K47" s="127"/>
      <c r="L47" s="118">
        <f>SUBTOTAL(9,Table1[Overhead Q1 total])</f>
        <v>0</v>
      </c>
      <c r="M47" s="118">
        <f>+SUM(Table1[Overhead Q2 total2])</f>
        <v>0</v>
      </c>
      <c r="N47" s="118">
        <f>+SUM(Table1[Overhead Q3 total3])</f>
        <v>0</v>
      </c>
      <c r="O47" s="187">
        <f>SUBTOTAL(9,Table1[Actual total expenditure (Dec2023) Q1])</f>
        <v>66786.775383473811</v>
      </c>
      <c r="P47" s="188">
        <f>+SUM(Table1[Actual total expenditure (Mar2024) Q2])</f>
        <v>96437.167751239831</v>
      </c>
      <c r="Q47" s="188">
        <f>+SUM(Table1[Actual total expenditure (Jun2024) Q3])</f>
        <v>42696.935868040826</v>
      </c>
      <c r="R47" s="188">
        <f>+SUM(Table1[Actual total expenditure (Sep2024) Q4])</f>
        <v>194038.31946959012</v>
      </c>
      <c r="S47" s="206">
        <f>+SUM(Table1[Total expenditure Q1+Q2+Q3+Q4])</f>
        <v>399959.19847234467</v>
      </c>
      <c r="T47" s="188">
        <f>SUM(Table1[Variance])</f>
        <v>293.8015276554404</v>
      </c>
      <c r="U47" s="210"/>
      <c r="V47" s="154"/>
      <c r="W47" s="148"/>
      <c r="X47" s="148"/>
      <c r="Y47" s="148"/>
      <c r="Z47" s="221"/>
    </row>
    <row r="48" spans="2:26">
      <c r="D48" s="216"/>
      <c r="E48" s="217" t="s">
        <v>333</v>
      </c>
      <c r="F48" s="218">
        <v>400253</v>
      </c>
      <c r="G48" s="218">
        <v>64038.899841821112</v>
      </c>
      <c r="H48" s="218">
        <v>92469.37000000001</v>
      </c>
      <c r="I48" s="218">
        <v>40940.200000000012</v>
      </c>
      <c r="J48" s="218">
        <v>185923.39</v>
      </c>
      <c r="K48" s="219"/>
      <c r="L48" s="218">
        <v>0</v>
      </c>
      <c r="M48" s="218">
        <v>0</v>
      </c>
      <c r="N48" s="218">
        <v>0</v>
      </c>
      <c r="O48" s="220">
        <v>64038.899841821112</v>
      </c>
      <c r="P48" s="203">
        <v>92469.37000000001</v>
      </c>
      <c r="Q48" s="204">
        <v>40940.200000000012</v>
      </c>
      <c r="R48" s="204">
        <v>185923.39</v>
      </c>
      <c r="S48" s="208">
        <v>383371.85984182102</v>
      </c>
      <c r="T48" s="204">
        <v>16881.1401581789</v>
      </c>
    </row>
    <row r="49" spans="3:20">
      <c r="E49" s="198"/>
      <c r="F49" s="198"/>
      <c r="G49" s="197"/>
      <c r="H49" s="197"/>
      <c r="I49" s="197"/>
      <c r="J49" s="197"/>
      <c r="K49" s="196"/>
      <c r="L49" s="197"/>
      <c r="M49" s="197"/>
      <c r="N49" s="197"/>
      <c r="O49" s="224"/>
      <c r="P49" s="201"/>
      <c r="Q49" s="201"/>
      <c r="R49" s="201"/>
      <c r="S49" s="207"/>
      <c r="T49" s="201"/>
    </row>
    <row r="50" spans="3:20">
      <c r="C50" s="279" t="s">
        <v>207</v>
      </c>
      <c r="D50" s="280"/>
      <c r="E50" s="209">
        <f>F50/Table1[[#Totals],[Planned total expenditure
(GBP)]]</f>
        <v>0.01</v>
      </c>
      <c r="F50" s="199">
        <f>+Table1[[#Totals],[Planned total expenditure
(GBP)]]*1%</f>
        <v>4002.53</v>
      </c>
      <c r="G50" s="195"/>
      <c r="H50" s="191"/>
      <c r="I50" s="195"/>
      <c r="J50" s="195"/>
      <c r="K50" s="200"/>
      <c r="L50" s="195"/>
      <c r="M50" s="195"/>
      <c r="N50" s="195"/>
      <c r="O50" s="224"/>
      <c r="P50" s="202" t="s">
        <v>209</v>
      </c>
      <c r="Q50" s="202" t="s">
        <v>209</v>
      </c>
      <c r="R50" s="202" t="s">
        <v>209</v>
      </c>
      <c r="S50" s="202" t="s">
        <v>209</v>
      </c>
      <c r="T50" s="202" t="s">
        <v>323</v>
      </c>
    </row>
    <row r="51" spans="3:20">
      <c r="C51" s="279" t="s">
        <v>208</v>
      </c>
      <c r="D51" s="280"/>
      <c r="E51" s="209">
        <f>F51/Table1[[#Totals],[Planned total expenditure
(GBP)]]</f>
        <v>0.08</v>
      </c>
      <c r="F51" s="199">
        <f>+Table1[[#Totals],[Planned total expenditure
(GBP)]]*8%</f>
        <v>32020.240000000002</v>
      </c>
      <c r="G51" s="195"/>
      <c r="H51" s="195"/>
      <c r="I51" s="195"/>
      <c r="J51" s="195"/>
      <c r="K51" s="200"/>
      <c r="L51" s="195"/>
      <c r="M51" s="195"/>
      <c r="N51" s="195"/>
      <c r="O51" s="224"/>
      <c r="P51" s="189"/>
      <c r="Q51" s="205"/>
      <c r="R51" s="205"/>
      <c r="S51" s="205"/>
      <c r="T51" s="189"/>
    </row>
    <row r="52" spans="3:20">
      <c r="H52" s="128"/>
      <c r="I52" s="128"/>
      <c r="J52" s="128"/>
      <c r="P52" s="215" t="s">
        <v>322</v>
      </c>
      <c r="Q52" s="215" t="s">
        <v>322</v>
      </c>
      <c r="R52" s="215" t="s">
        <v>322</v>
      </c>
      <c r="S52" s="215" t="s">
        <v>322</v>
      </c>
      <c r="T52" s="215" t="s">
        <v>324</v>
      </c>
    </row>
    <row r="53" spans="3:20">
      <c r="D53" s="225">
        <v>1.1985699999999999</v>
      </c>
      <c r="E53" s="223" t="s">
        <v>210</v>
      </c>
      <c r="F53" s="199">
        <f>+Table1[[#Totals],[Planned total expenditure
(GBP)]]+F50+F51</f>
        <v>436275.77</v>
      </c>
      <c r="O53" s="224">
        <f>F53*D53</f>
        <v>522907.04964889999</v>
      </c>
      <c r="P53" s="190">
        <f>Table1[[#Totals],[Actual total expenditure (Mar2024) Q2]]-P48</f>
        <v>3967.7977512398211</v>
      </c>
      <c r="Q53" s="190">
        <f>Table1[[#Totals],[Actual total expenditure (Jun2024) Q3]]-Q48</f>
        <v>1756.7358680408142</v>
      </c>
      <c r="R53" s="190">
        <f>Table1[[#Totals],[Actual total expenditure (Sep2024) Q4]]-R48</f>
        <v>8114.9294695901044</v>
      </c>
      <c r="S53" s="190">
        <f>Table1[[#Totals],[Total expenditure Q1+Q2+Q3+Q4]]-S48</f>
        <v>16587.338630523649</v>
      </c>
      <c r="T53" s="190">
        <f>Table1[[#Totals],[Variance]]-T48</f>
        <v>-16587.33863052346</v>
      </c>
    </row>
    <row r="54" spans="3:20" ht="14.45" customHeight="1">
      <c r="D54" s="225"/>
      <c r="E54" s="138" t="s">
        <v>211</v>
      </c>
      <c r="F54" s="139">
        <v>436276.57</v>
      </c>
      <c r="O54" s="224"/>
      <c r="P54" s="268" t="s">
        <v>336</v>
      </c>
      <c r="Q54" s="268" t="s">
        <v>334</v>
      </c>
      <c r="R54" s="268" t="s">
        <v>334</v>
      </c>
      <c r="S54" s="268" t="s">
        <v>334</v>
      </c>
      <c r="T54" s="268" t="s">
        <v>334</v>
      </c>
    </row>
    <row r="55" spans="3:20">
      <c r="C55" s="222" t="s">
        <v>214</v>
      </c>
      <c r="O55" s="224"/>
      <c r="P55" s="268"/>
      <c r="Q55" s="268"/>
      <c r="R55" s="268"/>
      <c r="S55" s="268"/>
      <c r="T55" s="268"/>
    </row>
    <row r="56" spans="3:20" ht="83.45" customHeight="1">
      <c r="C56" s="272" t="s">
        <v>321</v>
      </c>
      <c r="D56" s="275" t="s">
        <v>212</v>
      </c>
      <c r="E56" s="276"/>
      <c r="F56" s="277"/>
      <c r="G56" s="211"/>
      <c r="H56" s="211"/>
      <c r="I56" s="211"/>
      <c r="J56" s="211"/>
      <c r="K56" s="211"/>
      <c r="L56" s="211"/>
      <c r="P56" s="268"/>
      <c r="Q56" s="268"/>
      <c r="R56" s="268"/>
      <c r="S56" s="268"/>
      <c r="T56" s="268"/>
    </row>
    <row r="57" spans="3:20">
      <c r="C57" s="272"/>
      <c r="D57" s="273" t="s">
        <v>213</v>
      </c>
      <c r="E57" s="274"/>
      <c r="F57" s="212">
        <f>+(H39*8%)-(229*8%)</f>
        <v>184.58446114953659</v>
      </c>
      <c r="P57" s="268"/>
      <c r="Q57" s="268"/>
      <c r="R57" s="268"/>
      <c r="S57" s="268"/>
      <c r="T57" s="268"/>
    </row>
    <row r="58" spans="3:20">
      <c r="C58" s="272"/>
      <c r="P58" s="268"/>
      <c r="Q58" s="268"/>
      <c r="R58" s="268"/>
      <c r="S58" s="268"/>
      <c r="T58" s="268"/>
    </row>
    <row r="59" spans="3:20">
      <c r="C59" s="272"/>
      <c r="P59" s="268"/>
      <c r="Q59" s="268"/>
      <c r="R59" s="268"/>
      <c r="S59" s="268"/>
      <c r="T59" s="268"/>
    </row>
    <row r="60" spans="3:20">
      <c r="C60" s="272"/>
      <c r="D60" t="s">
        <v>335</v>
      </c>
      <c r="E60">
        <v>1.2984899999999999</v>
      </c>
      <c r="F60" s="199">
        <v>436275.77</v>
      </c>
      <c r="O60" s="224">
        <f>F60*E60</f>
        <v>566499.72458729998</v>
      </c>
      <c r="P60" s="268"/>
      <c r="Q60" s="268"/>
      <c r="R60" s="268"/>
      <c r="S60" s="268"/>
      <c r="T60" s="268"/>
    </row>
    <row r="61" spans="3:20">
      <c r="D61" t="s">
        <v>335</v>
      </c>
      <c r="E61">
        <v>1.1985699999999999</v>
      </c>
      <c r="F61" s="199">
        <v>436275.77</v>
      </c>
      <c r="O61" s="224">
        <f>F61*E61</f>
        <v>522907.04964889999</v>
      </c>
      <c r="P61" s="268"/>
      <c r="Q61" s="268"/>
      <c r="R61" s="268"/>
      <c r="S61" s="268"/>
      <c r="T61" s="268"/>
    </row>
    <row r="62" spans="3:20" ht="15.75" thickBot="1">
      <c r="P62" s="269"/>
      <c r="Q62" s="269"/>
      <c r="R62" s="269"/>
      <c r="S62" s="269"/>
      <c r="T62" s="269"/>
    </row>
    <row r="64" spans="3:20">
      <c r="P64" s="128"/>
      <c r="S64" s="213" t="s">
        <v>325</v>
      </c>
      <c r="T64" s="214">
        <f>Table1[[#Totals],[Variance]]</f>
        <v>293.8015276554404</v>
      </c>
    </row>
    <row r="65" spans="5:20">
      <c r="P65" s="128"/>
      <c r="S65" s="270" t="s">
        <v>326</v>
      </c>
      <c r="T65" s="271"/>
    </row>
    <row r="66" spans="5:20">
      <c r="N66">
        <v>0</v>
      </c>
      <c r="O66" s="229" t="s">
        <v>346</v>
      </c>
      <c r="R66" s="164" t="s">
        <v>347</v>
      </c>
    </row>
    <row r="67" spans="5:20">
      <c r="O67" s="164" t="s">
        <v>343</v>
      </c>
      <c r="R67" s="164" t="s">
        <v>342</v>
      </c>
      <c r="T67" s="230" t="s">
        <v>348</v>
      </c>
    </row>
    <row r="68" spans="5:20">
      <c r="O68" s="226" t="s">
        <v>337</v>
      </c>
      <c r="P68" s="227">
        <v>436275.77</v>
      </c>
      <c r="R68" s="226" t="s">
        <v>337</v>
      </c>
      <c r="S68" s="227">
        <v>436275.77</v>
      </c>
      <c r="T68" s="226"/>
    </row>
    <row r="69" spans="5:20">
      <c r="O69" s="226"/>
      <c r="P69" s="226"/>
      <c r="R69" s="226"/>
      <c r="S69" s="226"/>
      <c r="T69" s="226"/>
    </row>
    <row r="70" spans="5:20">
      <c r="E70" s="160"/>
      <c r="O70" s="226" t="s">
        <v>344</v>
      </c>
      <c r="P70" s="227">
        <f>+P68*100/109</f>
        <v>400253</v>
      </c>
      <c r="R70" s="226" t="s">
        <v>350</v>
      </c>
      <c r="S70" s="227">
        <v>399959.2</v>
      </c>
      <c r="T70" s="231">
        <f>+P70-S70</f>
        <v>293.79999999998836</v>
      </c>
    </row>
    <row r="71" spans="5:20">
      <c r="O71" s="226" t="s">
        <v>345</v>
      </c>
      <c r="P71" s="228">
        <f>+P70*8%</f>
        <v>32020.240000000002</v>
      </c>
      <c r="R71" s="226" t="s">
        <v>339</v>
      </c>
      <c r="S71" s="227">
        <f>+S70*8%</f>
        <v>31996.736000000001</v>
      </c>
      <c r="T71" s="231">
        <f>+P71-S71</f>
        <v>23.504000000000815</v>
      </c>
    </row>
    <row r="72" spans="5:20">
      <c r="O72" s="226" t="s">
        <v>340</v>
      </c>
      <c r="P72" s="228">
        <f>SUM(P70:P71)</f>
        <v>432273.24</v>
      </c>
      <c r="R72" s="226" t="s">
        <v>340</v>
      </c>
      <c r="S72" s="228">
        <f>SUM(S70:S71)</f>
        <v>431955.93599999999</v>
      </c>
      <c r="T72" s="228"/>
    </row>
    <row r="73" spans="5:20">
      <c r="E73" s="160"/>
      <c r="O73" s="226"/>
      <c r="P73" s="226"/>
      <c r="R73" s="226"/>
      <c r="S73" s="226"/>
      <c r="T73" s="226"/>
    </row>
    <row r="74" spans="5:20">
      <c r="E74" s="162"/>
      <c r="O74" s="226" t="s">
        <v>341</v>
      </c>
      <c r="P74" s="228">
        <f>+P70*1%</f>
        <v>4002.53</v>
      </c>
      <c r="R74" s="226" t="s">
        <v>341</v>
      </c>
      <c r="S74" s="228">
        <f>+S72*1%</f>
        <v>4319.5593600000002</v>
      </c>
      <c r="T74" s="226"/>
    </row>
    <row r="76" spans="5:20" ht="48" customHeight="1">
      <c r="F76" s="160"/>
      <c r="O76" s="278" t="s">
        <v>349</v>
      </c>
      <c r="P76" s="278"/>
      <c r="Q76" s="278"/>
    </row>
    <row r="77" spans="5:20">
      <c r="S77" s="162"/>
    </row>
    <row r="79" spans="5:20">
      <c r="F79" s="160"/>
    </row>
    <row r="80" spans="5:20">
      <c r="F80" s="162"/>
    </row>
    <row r="81" spans="6:16">
      <c r="F81" s="162"/>
    </row>
    <row r="82" spans="6:16">
      <c r="F82" s="162"/>
    </row>
    <row r="85" spans="6:16">
      <c r="O85" t="s">
        <v>338</v>
      </c>
      <c r="P85" s="162">
        <f>+S68-F76</f>
        <v>436275.77</v>
      </c>
    </row>
  </sheetData>
  <mergeCells count="12">
    <mergeCell ref="O76:Q76"/>
    <mergeCell ref="C50:D50"/>
    <mergeCell ref="C51:D51"/>
    <mergeCell ref="P54:P62"/>
    <mergeCell ref="Q54:Q62"/>
    <mergeCell ref="R54:R62"/>
    <mergeCell ref="S65:T65"/>
    <mergeCell ref="S54:S62"/>
    <mergeCell ref="T54:T62"/>
    <mergeCell ref="C56:C60"/>
    <mergeCell ref="D57:E57"/>
    <mergeCell ref="D56:F56"/>
  </mergeCells>
  <phoneticPr fontId="24" type="noConversion"/>
  <pageMargins left="0.7" right="0.7" top="0.75" bottom="0.75" header="0.3" footer="0.3"/>
  <pageSetup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E3FC5-1236-4357-8316-47A7C0DB563B}">
  <dimension ref="B2:B19"/>
  <sheetViews>
    <sheetView topLeftCell="A2" workbookViewId="0">
      <selection activeCell="B6" sqref="B6:B19"/>
    </sheetView>
  </sheetViews>
  <sheetFormatPr baseColWidth="10" defaultColWidth="9.140625" defaultRowHeight="15"/>
  <cols>
    <col min="2" max="2" width="148.7109375" customWidth="1"/>
  </cols>
  <sheetData>
    <row r="2" spans="2:2">
      <c r="B2" s="140" t="s">
        <v>216</v>
      </c>
    </row>
    <row r="4" spans="2:2" ht="29.25">
      <c r="B4" s="141" t="s">
        <v>217</v>
      </c>
    </row>
    <row r="5" spans="2:2">
      <c r="B5" s="142"/>
    </row>
    <row r="6" spans="2:2">
      <c r="B6" s="281" t="s">
        <v>218</v>
      </c>
    </row>
    <row r="7" spans="2:2">
      <c r="B7" s="282"/>
    </row>
    <row r="8" spans="2:2">
      <c r="B8" s="282"/>
    </row>
    <row r="9" spans="2:2">
      <c r="B9" s="282"/>
    </row>
    <row r="10" spans="2:2">
      <c r="B10" s="282"/>
    </row>
    <row r="11" spans="2:2">
      <c r="B11" s="282"/>
    </row>
    <row r="12" spans="2:2">
      <c r="B12" s="282"/>
    </row>
    <row r="13" spans="2:2">
      <c r="B13" s="282"/>
    </row>
    <row r="14" spans="2:2">
      <c r="B14" s="282"/>
    </row>
    <row r="15" spans="2:2">
      <c r="B15" s="282"/>
    </row>
    <row r="16" spans="2:2">
      <c r="B16" s="282"/>
    </row>
    <row r="17" spans="2:2">
      <c r="B17" s="282"/>
    </row>
    <row r="18" spans="2:2">
      <c r="B18" s="282"/>
    </row>
    <row r="19" spans="2:2">
      <c r="B19" s="283"/>
    </row>
  </sheetData>
  <mergeCells count="1">
    <mergeCell ref="B6:B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54A1B-6E6C-40C7-9F71-9E90487570EB}">
  <sheetPr>
    <tabColor theme="8" tint="0.59999389629810485"/>
  </sheetPr>
  <dimension ref="B1:L70"/>
  <sheetViews>
    <sheetView zoomScaleNormal="100" workbookViewId="0">
      <selection activeCell="K11" sqref="K11"/>
    </sheetView>
  </sheetViews>
  <sheetFormatPr baseColWidth="10" defaultColWidth="9.42578125" defaultRowHeight="14.25"/>
  <cols>
    <col min="1" max="1" width="5.42578125" style="78" customWidth="1"/>
    <col min="2" max="2" width="29.5703125" style="106" customWidth="1"/>
    <col min="3" max="3" width="30.5703125" style="78" customWidth="1"/>
    <col min="4" max="5" width="9.42578125" style="78"/>
    <col min="6" max="6" width="50.42578125" style="78" customWidth="1"/>
    <col min="7" max="7" width="60.42578125" style="78" customWidth="1"/>
    <col min="8" max="16384" width="9.42578125" style="78"/>
  </cols>
  <sheetData>
    <row r="1" spans="2:12" ht="22.35" customHeight="1">
      <c r="B1" s="99"/>
      <c r="C1" s="99"/>
      <c r="D1" s="99"/>
      <c r="E1" s="99"/>
      <c r="F1" s="99"/>
    </row>
    <row r="2" spans="2:12" s="2" customFormat="1" ht="23.85" customHeight="1">
      <c r="B2" s="317" t="s">
        <v>219</v>
      </c>
      <c r="C2" s="317"/>
      <c r="D2" s="317"/>
      <c r="E2" s="317"/>
      <c r="F2" s="317"/>
    </row>
    <row r="3" spans="2:12" ht="18.75" customHeight="1">
      <c r="B3" s="318"/>
      <c r="C3" s="318"/>
      <c r="D3" s="318"/>
      <c r="E3" s="318"/>
      <c r="F3" s="318"/>
    </row>
    <row r="4" spans="2:12" ht="116.1" customHeight="1">
      <c r="B4" s="317" t="s">
        <v>220</v>
      </c>
      <c r="C4" s="317"/>
      <c r="D4" s="317"/>
      <c r="E4" s="317"/>
      <c r="F4" s="317"/>
      <c r="H4" s="319"/>
      <c r="I4" s="319"/>
      <c r="J4" s="319"/>
      <c r="K4" s="319"/>
      <c r="L4" s="319"/>
    </row>
    <row r="5" spans="2:12" ht="32.25" customHeight="1" thickBot="1">
      <c r="B5" s="297"/>
      <c r="C5" s="297"/>
      <c r="D5" s="297"/>
      <c r="E5" s="297"/>
      <c r="F5" s="297"/>
      <c r="G5" s="297"/>
    </row>
    <row r="6" spans="2:12" ht="15" thickBot="1">
      <c r="B6" s="314" t="s">
        <v>221</v>
      </c>
      <c r="C6" s="314" t="s">
        <v>222</v>
      </c>
      <c r="D6" s="314" t="s">
        <v>223</v>
      </c>
      <c r="E6" s="314"/>
      <c r="F6" s="314"/>
      <c r="G6" s="315" t="s">
        <v>224</v>
      </c>
    </row>
    <row r="7" spans="2:12" ht="15" thickBot="1">
      <c r="B7" s="314"/>
      <c r="C7" s="314"/>
      <c r="D7" s="314"/>
      <c r="E7" s="314"/>
      <c r="F7" s="314"/>
      <c r="G7" s="316"/>
    </row>
    <row r="8" spans="2:12" ht="12.75" customHeight="1" thickBot="1">
      <c r="B8" s="307" t="s">
        <v>225</v>
      </c>
      <c r="C8" s="307" t="s">
        <v>226</v>
      </c>
      <c r="D8" s="308" t="s">
        <v>227</v>
      </c>
      <c r="E8" s="308"/>
      <c r="F8" s="308"/>
      <c r="G8" s="307" t="s">
        <v>226</v>
      </c>
    </row>
    <row r="9" spans="2:12" ht="27.75" customHeight="1" thickBot="1">
      <c r="B9" s="307"/>
      <c r="C9" s="307"/>
      <c r="D9" s="308"/>
      <c r="E9" s="308"/>
      <c r="F9" s="308"/>
      <c r="G9" s="307"/>
    </row>
    <row r="10" spans="2:12" ht="12.75" customHeight="1" thickBot="1">
      <c r="B10" s="307" t="s">
        <v>228</v>
      </c>
      <c r="C10" s="307" t="s">
        <v>226</v>
      </c>
      <c r="D10" s="308" t="s">
        <v>229</v>
      </c>
      <c r="E10" s="308"/>
      <c r="F10" s="308"/>
      <c r="G10" s="307" t="s">
        <v>226</v>
      </c>
    </row>
    <row r="11" spans="2:12" ht="27.75" customHeight="1" thickBot="1">
      <c r="B11" s="307"/>
      <c r="C11" s="307"/>
      <c r="D11" s="308"/>
      <c r="E11" s="308"/>
      <c r="F11" s="308"/>
      <c r="G11" s="307"/>
    </row>
    <row r="12" spans="2:12" ht="12.75" customHeight="1" thickBot="1">
      <c r="B12" s="307" t="s">
        <v>230</v>
      </c>
      <c r="C12" s="307" t="s">
        <v>226</v>
      </c>
      <c r="D12" s="308" t="s">
        <v>231</v>
      </c>
      <c r="E12" s="308"/>
      <c r="F12" s="308"/>
      <c r="G12" s="307" t="s">
        <v>226</v>
      </c>
    </row>
    <row r="13" spans="2:12" ht="36" customHeight="1" thickBot="1">
      <c r="B13" s="307"/>
      <c r="C13" s="307"/>
      <c r="D13" s="308"/>
      <c r="E13" s="308"/>
      <c r="F13" s="308"/>
      <c r="G13" s="307"/>
    </row>
    <row r="14" spans="2:12" ht="12.75" customHeight="1" thickBot="1">
      <c r="B14" s="307" t="s">
        <v>232</v>
      </c>
      <c r="C14" s="307" t="s">
        <v>226</v>
      </c>
      <c r="D14" s="308" t="s">
        <v>229</v>
      </c>
      <c r="E14" s="308"/>
      <c r="F14" s="308"/>
      <c r="G14" s="307" t="s">
        <v>226</v>
      </c>
    </row>
    <row r="15" spans="2:12" ht="38.25" customHeight="1" thickBot="1">
      <c r="B15" s="307"/>
      <c r="C15" s="307"/>
      <c r="D15" s="308"/>
      <c r="E15" s="308"/>
      <c r="F15" s="308"/>
      <c r="G15" s="307"/>
    </row>
    <row r="16" spans="2:12" ht="12.75" customHeight="1" thickBot="1">
      <c r="B16" s="307" t="s">
        <v>233</v>
      </c>
      <c r="C16" s="307" t="s">
        <v>226</v>
      </c>
      <c r="D16" s="308" t="s">
        <v>229</v>
      </c>
      <c r="E16" s="308"/>
      <c r="F16" s="308"/>
      <c r="G16" s="307" t="s">
        <v>226</v>
      </c>
    </row>
    <row r="17" spans="2:7" ht="42" customHeight="1" thickBot="1">
      <c r="B17" s="307"/>
      <c r="C17" s="307"/>
      <c r="D17" s="308"/>
      <c r="E17" s="308"/>
      <c r="F17" s="308"/>
      <c r="G17" s="307"/>
    </row>
    <row r="18" spans="2:7" ht="192" customHeight="1" thickBot="1">
      <c r="B18" s="100" t="s">
        <v>234</v>
      </c>
      <c r="C18" s="101" t="s">
        <v>226</v>
      </c>
      <c r="D18" s="309" t="s">
        <v>235</v>
      </c>
      <c r="E18" s="310"/>
      <c r="F18" s="310"/>
      <c r="G18" s="102" t="s">
        <v>226</v>
      </c>
    </row>
    <row r="19" spans="2:7" ht="14.25" customHeight="1" thickBot="1">
      <c r="B19" s="284" t="s">
        <v>236</v>
      </c>
      <c r="C19" s="298" t="s">
        <v>237</v>
      </c>
      <c r="D19" s="289" t="s">
        <v>238</v>
      </c>
      <c r="E19" s="290"/>
      <c r="F19" s="291"/>
      <c r="G19" s="298" t="s">
        <v>239</v>
      </c>
    </row>
    <row r="20" spans="2:7" ht="15" thickBot="1">
      <c r="B20" s="284"/>
      <c r="C20" s="306"/>
      <c r="D20" s="311"/>
      <c r="E20" s="312"/>
      <c r="F20" s="313"/>
      <c r="G20" s="306"/>
    </row>
    <row r="21" spans="2:7" ht="28.5" customHeight="1" thickBot="1">
      <c r="B21" s="284"/>
      <c r="C21" s="299"/>
      <c r="D21" s="311"/>
      <c r="E21" s="312"/>
      <c r="F21" s="313"/>
      <c r="G21" s="299"/>
    </row>
    <row r="22" spans="2:7" ht="42" customHeight="1" thickBot="1">
      <c r="B22" s="284" t="s">
        <v>240</v>
      </c>
      <c r="C22" s="298" t="s">
        <v>241</v>
      </c>
      <c r="D22" s="311"/>
      <c r="E22" s="312"/>
      <c r="F22" s="313"/>
      <c r="G22" s="298" t="s">
        <v>239</v>
      </c>
    </row>
    <row r="23" spans="2:7" ht="15" thickBot="1">
      <c r="B23" s="284"/>
      <c r="C23" s="299"/>
      <c r="D23" s="311"/>
      <c r="E23" s="312"/>
      <c r="F23" s="313"/>
      <c r="G23" s="299"/>
    </row>
    <row r="24" spans="2:7" ht="12.75" customHeight="1" thickBot="1">
      <c r="B24" s="284" t="s">
        <v>242</v>
      </c>
      <c r="C24" s="298" t="s">
        <v>243</v>
      </c>
      <c r="D24" s="311"/>
      <c r="E24" s="312"/>
      <c r="F24" s="313"/>
      <c r="G24" s="298" t="s">
        <v>239</v>
      </c>
    </row>
    <row r="25" spans="2:7" ht="15" thickBot="1">
      <c r="B25" s="284"/>
      <c r="C25" s="306"/>
      <c r="D25" s="311"/>
      <c r="E25" s="312"/>
      <c r="F25" s="313"/>
      <c r="G25" s="306"/>
    </row>
    <row r="26" spans="2:7" ht="28.5" customHeight="1" thickBot="1">
      <c r="B26" s="284"/>
      <c r="C26" s="299"/>
      <c r="D26" s="311"/>
      <c r="E26" s="312"/>
      <c r="F26" s="313"/>
      <c r="G26" s="299"/>
    </row>
    <row r="27" spans="2:7" ht="12.75" customHeight="1" thickBot="1">
      <c r="B27" s="284" t="s">
        <v>244</v>
      </c>
      <c r="C27" s="298" t="s">
        <v>245</v>
      </c>
      <c r="D27" s="311"/>
      <c r="E27" s="312"/>
      <c r="F27" s="313"/>
      <c r="G27" s="298" t="s">
        <v>239</v>
      </c>
    </row>
    <row r="28" spans="2:7" ht="15" thickBot="1">
      <c r="B28" s="284"/>
      <c r="C28" s="306"/>
      <c r="D28" s="311"/>
      <c r="E28" s="312"/>
      <c r="F28" s="313"/>
      <c r="G28" s="306"/>
    </row>
    <row r="29" spans="2:7" ht="36" customHeight="1" thickBot="1">
      <c r="B29" s="284"/>
      <c r="C29" s="299"/>
      <c r="D29" s="311"/>
      <c r="E29" s="312"/>
      <c r="F29" s="313"/>
      <c r="G29" s="299"/>
    </row>
    <row r="30" spans="2:7" ht="12.75" customHeight="1" thickBot="1">
      <c r="B30" s="284" t="s">
        <v>246</v>
      </c>
      <c r="C30" s="298" t="s">
        <v>247</v>
      </c>
      <c r="D30" s="311"/>
      <c r="E30" s="312"/>
      <c r="F30" s="313"/>
      <c r="G30" s="298" t="s">
        <v>239</v>
      </c>
    </row>
    <row r="31" spans="2:7" ht="15" thickBot="1">
      <c r="B31" s="284"/>
      <c r="C31" s="306"/>
      <c r="D31" s="311"/>
      <c r="E31" s="312"/>
      <c r="F31" s="313"/>
      <c r="G31" s="306"/>
    </row>
    <row r="32" spans="2:7" ht="37.700000000000003" customHeight="1" thickBot="1">
      <c r="B32" s="284"/>
      <c r="C32" s="299"/>
      <c r="D32" s="311"/>
      <c r="E32" s="312"/>
      <c r="F32" s="313"/>
      <c r="G32" s="299"/>
    </row>
    <row r="33" spans="2:10" ht="14.45" customHeight="1" thickBot="1">
      <c r="B33" s="284" t="s">
        <v>248</v>
      </c>
      <c r="C33" s="298" t="s">
        <v>249</v>
      </c>
      <c r="D33" s="311"/>
      <c r="E33" s="312"/>
      <c r="F33" s="313"/>
      <c r="G33" s="298" t="s">
        <v>239</v>
      </c>
    </row>
    <row r="34" spans="2:10" ht="46.35" customHeight="1" thickBot="1">
      <c r="B34" s="284"/>
      <c r="C34" s="299"/>
      <c r="D34" s="311"/>
      <c r="E34" s="312"/>
      <c r="F34" s="313"/>
      <c r="G34" s="299"/>
    </row>
    <row r="35" spans="2:10" ht="14.45" customHeight="1" thickBot="1">
      <c r="B35" s="284" t="s">
        <v>250</v>
      </c>
      <c r="C35" s="298" t="s">
        <v>251</v>
      </c>
      <c r="D35" s="311"/>
      <c r="E35" s="312"/>
      <c r="F35" s="313"/>
      <c r="G35" s="298" t="s">
        <v>239</v>
      </c>
    </row>
    <row r="36" spans="2:10" ht="44.25" customHeight="1" thickBot="1">
      <c r="B36" s="284"/>
      <c r="C36" s="299"/>
      <c r="D36" s="311"/>
      <c r="E36" s="312"/>
      <c r="F36" s="313"/>
      <c r="G36" s="299"/>
    </row>
    <row r="37" spans="2:10" ht="14.45" customHeight="1" thickBot="1">
      <c r="B37" s="284" t="s">
        <v>252</v>
      </c>
      <c r="C37" s="298" t="s">
        <v>253</v>
      </c>
      <c r="D37" s="311"/>
      <c r="E37" s="312"/>
      <c r="F37" s="313"/>
      <c r="G37" s="298" t="s">
        <v>239</v>
      </c>
    </row>
    <row r="38" spans="2:10" ht="44.25" customHeight="1" thickBot="1">
      <c r="B38" s="284"/>
      <c r="C38" s="299"/>
      <c r="D38" s="292"/>
      <c r="E38" s="293"/>
      <c r="F38" s="294"/>
      <c r="G38" s="299"/>
    </row>
    <row r="39" spans="2:10" ht="46.5" customHeight="1" thickBot="1">
      <c r="B39" s="300" t="s">
        <v>254</v>
      </c>
      <c r="C39" s="301"/>
      <c r="D39" s="301"/>
      <c r="E39" s="301"/>
      <c r="F39" s="301"/>
      <c r="G39" s="301"/>
    </row>
    <row r="40" spans="2:10" ht="45.75" customHeight="1" thickBot="1">
      <c r="B40" s="284" t="s">
        <v>255</v>
      </c>
      <c r="C40" s="284" t="s">
        <v>256</v>
      </c>
      <c r="D40" s="284" t="s">
        <v>257</v>
      </c>
      <c r="E40" s="284"/>
      <c r="F40" s="284"/>
      <c r="G40" s="295" t="s">
        <v>258</v>
      </c>
      <c r="H40" s="297"/>
      <c r="I40" s="297"/>
      <c r="J40" s="297"/>
    </row>
    <row r="41" spans="2:10" ht="48" customHeight="1" thickBot="1">
      <c r="B41" s="284"/>
      <c r="C41" s="284"/>
      <c r="D41" s="284"/>
      <c r="E41" s="284"/>
      <c r="F41" s="284"/>
      <c r="G41" s="302"/>
      <c r="H41" s="297"/>
      <c r="I41" s="297"/>
      <c r="J41" s="297"/>
    </row>
    <row r="42" spans="2:10" ht="46.35" customHeight="1" thickBot="1">
      <c r="B42" s="111" t="s">
        <v>259</v>
      </c>
      <c r="C42" s="303" t="s">
        <v>260</v>
      </c>
      <c r="D42" s="304"/>
      <c r="E42" s="304"/>
      <c r="F42" s="305"/>
      <c r="G42" s="296"/>
    </row>
    <row r="43" spans="2:10" ht="27" customHeight="1" thickBot="1">
      <c r="B43" s="284" t="s">
        <v>261</v>
      </c>
      <c r="C43" s="289" t="s">
        <v>262</v>
      </c>
      <c r="D43" s="290"/>
      <c r="E43" s="290"/>
      <c r="F43" s="291"/>
      <c r="G43" s="295" t="s">
        <v>263</v>
      </c>
    </row>
    <row r="44" spans="2:10" ht="48.6" customHeight="1" thickBot="1">
      <c r="B44" s="284"/>
      <c r="C44" s="292"/>
      <c r="D44" s="293"/>
      <c r="E44" s="293"/>
      <c r="F44" s="294"/>
      <c r="G44" s="296"/>
    </row>
    <row r="45" spans="2:10" ht="77.45" customHeight="1" thickBot="1">
      <c r="B45" s="111" t="s">
        <v>264</v>
      </c>
      <c r="C45" s="111" t="s">
        <v>265</v>
      </c>
      <c r="D45" s="284" t="s">
        <v>266</v>
      </c>
      <c r="E45" s="284"/>
      <c r="F45" s="284"/>
      <c r="G45" s="112" t="s">
        <v>267</v>
      </c>
    </row>
    <row r="46" spans="2:10" ht="51.95" customHeight="1" thickBot="1">
      <c r="B46" s="103" t="s">
        <v>268</v>
      </c>
      <c r="C46" s="287" t="s">
        <v>269</v>
      </c>
      <c r="D46" s="284" t="s">
        <v>270</v>
      </c>
      <c r="E46" s="284"/>
      <c r="F46" s="284"/>
      <c r="G46" s="288" t="s">
        <v>271</v>
      </c>
    </row>
    <row r="47" spans="2:10" ht="41.45" customHeight="1" thickBot="1">
      <c r="B47" s="111" t="s">
        <v>272</v>
      </c>
      <c r="C47" s="284"/>
      <c r="D47" s="284"/>
      <c r="E47" s="284"/>
      <c r="F47" s="284"/>
      <c r="G47" s="288"/>
    </row>
    <row r="48" spans="2:10" ht="61.35" customHeight="1" thickBot="1">
      <c r="B48" s="111" t="s">
        <v>273</v>
      </c>
      <c r="C48" s="111" t="s">
        <v>274</v>
      </c>
      <c r="D48" s="104"/>
      <c r="E48" s="104"/>
      <c r="F48" s="105"/>
      <c r="G48" s="112" t="s">
        <v>275</v>
      </c>
    </row>
    <row r="49" spans="2:7" ht="63.2" customHeight="1" thickBot="1">
      <c r="B49" s="111" t="s">
        <v>27</v>
      </c>
      <c r="C49" s="284" t="s">
        <v>276</v>
      </c>
      <c r="D49" s="284"/>
      <c r="E49" s="284"/>
      <c r="F49" s="284"/>
      <c r="G49" s="112" t="s">
        <v>277</v>
      </c>
    </row>
    <row r="50" spans="2:7" ht="53.85" customHeight="1">
      <c r="B50" s="285" t="s">
        <v>278</v>
      </c>
      <c r="C50" s="286"/>
      <c r="D50" s="286"/>
      <c r="E50" s="286"/>
      <c r="F50" s="286"/>
      <c r="G50" s="286"/>
    </row>
    <row r="51" spans="2:7" ht="13.5" customHeight="1">
      <c r="B51" s="107"/>
      <c r="C51" s="110"/>
      <c r="D51" s="110"/>
      <c r="E51" s="110"/>
      <c r="F51" s="110"/>
      <c r="G51" s="110"/>
    </row>
    <row r="52" spans="2:7">
      <c r="B52" s="107" t="s">
        <v>279</v>
      </c>
      <c r="C52" s="110"/>
      <c r="D52" s="110"/>
      <c r="E52" s="110"/>
      <c r="F52" s="110"/>
      <c r="G52" s="110"/>
    </row>
    <row r="53" spans="2:7">
      <c r="B53" s="107" t="s">
        <v>280</v>
      </c>
      <c r="C53" s="110"/>
      <c r="D53" s="110"/>
      <c r="E53" s="110"/>
      <c r="F53" s="110"/>
      <c r="G53" s="110"/>
    </row>
    <row r="54" spans="2:7">
      <c r="B54" s="107" t="s">
        <v>281</v>
      </c>
      <c r="C54" s="110"/>
      <c r="D54" s="110"/>
      <c r="E54" s="110"/>
      <c r="F54" s="110"/>
      <c r="G54" s="110"/>
    </row>
    <row r="55" spans="2:7">
      <c r="B55" s="107"/>
      <c r="C55" s="110"/>
      <c r="D55" s="110"/>
      <c r="E55" s="110"/>
      <c r="F55" s="110"/>
      <c r="G55" s="110"/>
    </row>
    <row r="56" spans="2:7">
      <c r="B56" s="107"/>
      <c r="C56" s="110"/>
      <c r="D56" s="110"/>
      <c r="E56" s="110"/>
      <c r="F56" s="110"/>
      <c r="G56" s="110"/>
    </row>
    <row r="57" spans="2:7" ht="42.75">
      <c r="B57" s="107" t="s">
        <v>282</v>
      </c>
      <c r="C57" s="110"/>
      <c r="D57" s="110"/>
      <c r="E57" s="110"/>
      <c r="F57" s="110"/>
      <c r="G57" s="110"/>
    </row>
    <row r="58" spans="2:7" ht="42.75">
      <c r="B58" s="107" t="s">
        <v>283</v>
      </c>
      <c r="C58" s="110"/>
      <c r="D58" s="110"/>
      <c r="E58" s="110"/>
      <c r="F58" s="110"/>
      <c r="G58" s="110"/>
    </row>
    <row r="59" spans="2:7">
      <c r="B59" s="109"/>
      <c r="C59" s="110"/>
      <c r="D59" s="110"/>
      <c r="E59" s="110"/>
      <c r="F59" s="110"/>
      <c r="G59" s="110"/>
    </row>
    <row r="60" spans="2:7">
      <c r="B60" s="109"/>
      <c r="C60" s="110"/>
      <c r="D60" s="110"/>
      <c r="E60" s="110"/>
      <c r="F60" s="110"/>
      <c r="G60" s="110"/>
    </row>
    <row r="61" spans="2:7">
      <c r="B61" s="109"/>
      <c r="C61" s="110"/>
      <c r="D61" s="110"/>
      <c r="E61" s="110"/>
      <c r="F61" s="110"/>
      <c r="G61" s="110"/>
    </row>
    <row r="62" spans="2:7">
      <c r="B62" s="109"/>
      <c r="C62" s="110"/>
      <c r="D62" s="110"/>
      <c r="E62" s="110"/>
      <c r="F62" s="110"/>
      <c r="G62" s="110"/>
    </row>
    <row r="63" spans="2:7">
      <c r="B63" s="109"/>
      <c r="C63" s="110"/>
      <c r="D63" s="110"/>
      <c r="E63" s="110"/>
      <c r="F63" s="110"/>
      <c r="G63" s="110"/>
    </row>
    <row r="64" spans="2:7">
      <c r="B64" s="109"/>
      <c r="C64" s="110"/>
      <c r="D64" s="110"/>
      <c r="E64" s="110"/>
      <c r="F64" s="110"/>
      <c r="G64" s="110"/>
    </row>
    <row r="65" spans="2:7">
      <c r="B65" s="109"/>
      <c r="C65" s="110"/>
      <c r="D65" s="110"/>
      <c r="E65" s="110"/>
      <c r="F65" s="110"/>
      <c r="G65" s="110"/>
    </row>
    <row r="66" spans="2:7">
      <c r="B66" s="109"/>
      <c r="C66" s="110"/>
      <c r="D66" s="110"/>
      <c r="E66" s="110"/>
      <c r="F66" s="110"/>
      <c r="G66" s="110"/>
    </row>
    <row r="67" spans="2:7">
      <c r="B67" s="109"/>
      <c r="C67" s="110"/>
      <c r="D67" s="110"/>
      <c r="E67" s="110"/>
      <c r="F67" s="110"/>
      <c r="G67" s="110"/>
    </row>
    <row r="68" spans="2:7">
      <c r="B68" s="109"/>
      <c r="C68" s="110"/>
      <c r="D68" s="110"/>
      <c r="E68" s="110"/>
      <c r="F68" s="110"/>
      <c r="G68" s="110"/>
    </row>
    <row r="69" spans="2:7">
      <c r="B69" s="109"/>
      <c r="C69" s="110"/>
      <c r="D69" s="110"/>
      <c r="E69" s="110"/>
      <c r="F69" s="110"/>
      <c r="G69" s="110"/>
    </row>
    <row r="70" spans="2:7">
      <c r="B70" s="109"/>
      <c r="C70" s="110"/>
      <c r="D70" s="110"/>
      <c r="E70" s="110"/>
      <c r="F70" s="110"/>
      <c r="G70" s="110"/>
    </row>
  </sheetData>
  <sheetProtection algorithmName="SHA-512" hashValue="Pixb+r7yl1w/ODeu8Qntu/AjCqRQWZ7hiL8X1GQGLBYARZzFDMuN9Hwk0hfXatMIPK5UqAJx8KxJmbzjyrPmDg==" saltValue="wF4NxndKYirKIhEmfGb6Aw==" spinCount="100000" sheet="1" objects="1" scenarios="1"/>
  <mergeCells count="71">
    <mergeCell ref="B2:F2"/>
    <mergeCell ref="B3:F3"/>
    <mergeCell ref="B4:F4"/>
    <mergeCell ref="H4:L4"/>
    <mergeCell ref="B5:G5"/>
    <mergeCell ref="B8:B9"/>
    <mergeCell ref="C8:C9"/>
    <mergeCell ref="D8:F9"/>
    <mergeCell ref="G8:G9"/>
    <mergeCell ref="B6:B7"/>
    <mergeCell ref="C6:C7"/>
    <mergeCell ref="D6:F7"/>
    <mergeCell ref="G6:G7"/>
    <mergeCell ref="B10:B11"/>
    <mergeCell ref="C10:C11"/>
    <mergeCell ref="D10:F11"/>
    <mergeCell ref="G10:G11"/>
    <mergeCell ref="B12:B13"/>
    <mergeCell ref="C12:C13"/>
    <mergeCell ref="D12:F13"/>
    <mergeCell ref="G12:G13"/>
    <mergeCell ref="B14:B15"/>
    <mergeCell ref="C14:C15"/>
    <mergeCell ref="D14:F15"/>
    <mergeCell ref="G14:G15"/>
    <mergeCell ref="B27:B29"/>
    <mergeCell ref="C27:C29"/>
    <mergeCell ref="G27:G29"/>
    <mergeCell ref="B16:B17"/>
    <mergeCell ref="C16:C17"/>
    <mergeCell ref="D16:F17"/>
    <mergeCell ref="G16:G17"/>
    <mergeCell ref="D18:F18"/>
    <mergeCell ref="B19:B21"/>
    <mergeCell ref="C19:C21"/>
    <mergeCell ref="D19:F38"/>
    <mergeCell ref="G19:G21"/>
    <mergeCell ref="B22:B23"/>
    <mergeCell ref="C22:C23"/>
    <mergeCell ref="G22:G23"/>
    <mergeCell ref="B24:B26"/>
    <mergeCell ref="C24:C26"/>
    <mergeCell ref="G24:G26"/>
    <mergeCell ref="B30:B32"/>
    <mergeCell ref="C30:C32"/>
    <mergeCell ref="G30:G32"/>
    <mergeCell ref="B33:B34"/>
    <mergeCell ref="C33:C34"/>
    <mergeCell ref="G33:G34"/>
    <mergeCell ref="H40:J41"/>
    <mergeCell ref="B35:B36"/>
    <mergeCell ref="C35:C36"/>
    <mergeCell ref="G35:G36"/>
    <mergeCell ref="B37:B38"/>
    <mergeCell ref="C37:C38"/>
    <mergeCell ref="G37:G38"/>
    <mergeCell ref="B39:G39"/>
    <mergeCell ref="B40:B41"/>
    <mergeCell ref="C40:C41"/>
    <mergeCell ref="D40:F41"/>
    <mergeCell ref="G40:G42"/>
    <mergeCell ref="C42:F42"/>
    <mergeCell ref="C49:F49"/>
    <mergeCell ref="B50:G50"/>
    <mergeCell ref="B43:B44"/>
    <mergeCell ref="D45:F45"/>
    <mergeCell ref="C46:C47"/>
    <mergeCell ref="D46:F47"/>
    <mergeCell ref="G46:G47"/>
    <mergeCell ref="C43:F44"/>
    <mergeCell ref="G43:G44"/>
  </mergeCells>
  <phoneticPr fontId="34"/>
  <dataValidations count="1">
    <dataValidation type="list" allowBlank="1" showInputMessage="1" showErrorMessage="1" sqref="B58" xr:uid="{43FFAA88-31ED-4555-BDAB-521BD649060E}">
      <formula1>$B$57:$B$58</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117D1-DFA3-4AAC-893B-8C570F573402}">
  <dimension ref="B1:Y81"/>
  <sheetViews>
    <sheetView topLeftCell="C42" zoomScale="70" zoomScaleNormal="70" workbookViewId="0">
      <selection activeCell="F58" sqref="F58"/>
    </sheetView>
  </sheetViews>
  <sheetFormatPr baseColWidth="10" defaultColWidth="9.140625" defaultRowHeight="15"/>
  <cols>
    <col min="1" max="1" width="2.85546875" customWidth="1"/>
    <col min="3" max="3" width="55.42578125" customWidth="1"/>
    <col min="4" max="4" width="37.28515625" customWidth="1"/>
    <col min="5" max="5" width="18.85546875" hidden="1" customWidth="1"/>
    <col min="6" max="6" width="22.140625" bestFit="1" customWidth="1"/>
    <col min="7" max="10" width="23.85546875" hidden="1" customWidth="1"/>
    <col min="11" max="11" width="13.140625" style="88" hidden="1" customWidth="1"/>
    <col min="12" max="14" width="15.5703125" hidden="1" customWidth="1"/>
    <col min="15" max="15" width="26" bestFit="1" customWidth="1"/>
    <col min="16" max="16" width="41.5703125" customWidth="1"/>
    <col min="17" max="17" width="15.42578125" customWidth="1"/>
    <col min="18" max="18" width="16.28515625" customWidth="1"/>
    <col min="19" max="19" width="15.85546875" customWidth="1"/>
    <col min="20" max="20" width="19.42578125" customWidth="1"/>
    <col min="21" max="21" width="12" bestFit="1" customWidth="1"/>
    <col min="22" max="22" width="29.42578125" hidden="1" customWidth="1"/>
    <col min="23" max="23" width="22.28515625" hidden="1" customWidth="1"/>
    <col min="24" max="25" width="47.42578125" hidden="1" customWidth="1"/>
  </cols>
  <sheetData>
    <row r="1" spans="2:25" ht="17.45" customHeight="1"/>
    <row r="2" spans="2:25" s="2" customFormat="1" ht="25.5" customHeight="1">
      <c r="B2" s="86"/>
      <c r="C2" s="121" t="s">
        <v>93</v>
      </c>
      <c r="D2" s="121"/>
      <c r="E2" s="121"/>
      <c r="F2" s="121"/>
      <c r="K2" s="89"/>
    </row>
    <row r="3" spans="2:25" ht="24.6" customHeight="1"/>
    <row r="4" spans="2:25" ht="38.25">
      <c r="B4" s="57" t="s">
        <v>94</v>
      </c>
      <c r="C4" s="57" t="s">
        <v>95</v>
      </c>
      <c r="D4" s="57" t="s">
        <v>96</v>
      </c>
      <c r="E4" s="57" t="s">
        <v>97</v>
      </c>
      <c r="F4" s="57" t="s">
        <v>98</v>
      </c>
      <c r="G4" s="57" t="s">
        <v>99</v>
      </c>
      <c r="H4" s="57" t="s">
        <v>100</v>
      </c>
      <c r="I4" s="57" t="s">
        <v>101</v>
      </c>
      <c r="J4" s="57" t="s">
        <v>102</v>
      </c>
      <c r="K4" s="57" t="s">
        <v>103</v>
      </c>
      <c r="L4" s="57" t="s">
        <v>104</v>
      </c>
      <c r="M4" s="57" t="s">
        <v>105</v>
      </c>
      <c r="N4" s="57" t="s">
        <v>106</v>
      </c>
      <c r="O4" s="57" t="s">
        <v>107</v>
      </c>
      <c r="P4" s="57" t="s">
        <v>108</v>
      </c>
      <c r="Q4" s="57" t="s">
        <v>109</v>
      </c>
      <c r="R4" s="57" t="s">
        <v>284</v>
      </c>
      <c r="S4" s="57" t="s">
        <v>111</v>
      </c>
      <c r="T4" s="57" t="s">
        <v>76</v>
      </c>
      <c r="U4" s="132" t="s">
        <v>112</v>
      </c>
      <c r="V4" s="151" t="s">
        <v>285</v>
      </c>
      <c r="W4" s="151" t="s">
        <v>286</v>
      </c>
      <c r="X4" s="151" t="s">
        <v>115</v>
      </c>
      <c r="Y4" s="151" t="s">
        <v>115</v>
      </c>
    </row>
    <row r="5" spans="2:25" ht="15.75" customHeight="1">
      <c r="B5" s="56" t="s">
        <v>116</v>
      </c>
      <c r="C5" s="56" t="s">
        <v>117</v>
      </c>
      <c r="D5" s="122" t="s">
        <v>118</v>
      </c>
      <c r="E5" s="122"/>
      <c r="F5" s="125">
        <v>6900</v>
      </c>
      <c r="G5" s="55">
        <v>0</v>
      </c>
      <c r="H5" s="55">
        <v>994.78</v>
      </c>
      <c r="I5" s="55">
        <v>0</v>
      </c>
      <c r="J5" s="55">
        <v>3210.89</v>
      </c>
      <c r="K5" s="90">
        <v>0</v>
      </c>
      <c r="L5" s="55">
        <f>Table13[[#This Row],[Total direct expenditure Q1
(GBP)]]*Table13[[#This Row],[Overhead %]]</f>
        <v>0</v>
      </c>
      <c r="M5" s="55">
        <f>+Table13[[#This Row],[Total direct expenditure Q2
(GBP)2]]*Table13[[#This Row],[Overhead %]]</f>
        <v>0</v>
      </c>
      <c r="N5" s="55">
        <f>+Table13[[#This Row],[Total direct expenditure Q3
(GBP)3]]*Table13[[#This Row],[Overhead %]]</f>
        <v>0</v>
      </c>
      <c r="O5" s="55">
        <f>Table13[[#This Row],[Total direct expenditure Q1
(GBP)]]+Table13[[#This Row],[Overhead Q1 total]]</f>
        <v>0</v>
      </c>
      <c r="P5" s="55">
        <f>+Table13[[#This Row],[Total direct expenditure Q2
(GBP)2]]+Table13[[#This Row],[Overhead Q2 total2]]</f>
        <v>994.78</v>
      </c>
      <c r="Q5" s="59">
        <f>+Table13[[#This Row],[Total direct expenditure Q3
(GBP)3]]+Table13[[#This Row],[Overhead Q3 total3]]</f>
        <v>0</v>
      </c>
      <c r="R5" s="59">
        <f>+Table13[[#This Row],[Total direct expenditure Q4
(GBP)4]]</f>
        <v>3210.89</v>
      </c>
      <c r="S5" s="59">
        <f>+Table13[[#This Row],[Actual total expenditure (Dec2023) Q1]]+Table13[[#This Row],[Actual total expenditure (Mar2024) Q2]]+Table13[[#This Row],[Actual total expenditure (Jun2024) Q3]]+Table13[[#This Row],[Actual total expenditure (Jun2024) Q4]]</f>
        <v>4205.67</v>
      </c>
      <c r="T5" s="59">
        <f>+Table13[[#This Row],[Planned total expenditure
(GBP)]]-Table13[[#This Row],[Total expenditure Q1+Q2+Q3+Q4]]</f>
        <v>2694.33</v>
      </c>
      <c r="U5" s="167">
        <f>S5/F5</f>
        <v>0.60951739130434779</v>
      </c>
      <c r="V5" s="55"/>
      <c r="W5" s="55"/>
      <c r="X5" s="55"/>
      <c r="Y5" s="55"/>
    </row>
    <row r="6" spans="2:25" ht="15.75" customHeight="1">
      <c r="B6" s="56" t="s">
        <v>120</v>
      </c>
      <c r="C6" s="56" t="s">
        <v>121</v>
      </c>
      <c r="D6" s="122" t="s">
        <v>118</v>
      </c>
      <c r="E6" s="122"/>
      <c r="F6" s="125">
        <v>6210</v>
      </c>
      <c r="G6" s="55">
        <v>0</v>
      </c>
      <c r="H6" s="55">
        <v>4545.3100000000004</v>
      </c>
      <c r="I6" s="55">
        <v>0</v>
      </c>
      <c r="J6" s="55">
        <v>1664.45</v>
      </c>
      <c r="K6" s="90">
        <v>0</v>
      </c>
      <c r="L6" s="55">
        <f>Table13[[#This Row],[Total direct expenditure Q1
(GBP)]]*Table13[[#This Row],[Overhead %]]</f>
        <v>0</v>
      </c>
      <c r="M6" s="55">
        <f>+Table13[[#This Row],[Total direct expenditure Q2
(GBP)2]]*Table13[[#This Row],[Overhead %]]</f>
        <v>0</v>
      </c>
      <c r="N6" s="55">
        <f>+Table13[[#This Row],[Total direct expenditure Q3
(GBP)3]]*Table13[[#This Row],[Overhead %]]</f>
        <v>0</v>
      </c>
      <c r="O6" s="55">
        <f>Table13[[#This Row],[Total direct expenditure Q1
(GBP)]]+Table13[[#This Row],[Overhead Q1 total]]</f>
        <v>0</v>
      </c>
      <c r="P6" s="55">
        <f>+Table13[[#This Row],[Total direct expenditure Q2
(GBP)2]]+Table13[[#This Row],[Overhead Q2 total2]]</f>
        <v>4545.3100000000004</v>
      </c>
      <c r="Q6" s="59">
        <f>+Table13[[#This Row],[Total direct expenditure Q3
(GBP)3]]+Table13[[#This Row],[Overhead Q3 total3]]</f>
        <v>0</v>
      </c>
      <c r="R6" s="59">
        <f>+Table13[[#This Row],[Total direct expenditure Q4
(GBP)4]]</f>
        <v>1664.45</v>
      </c>
      <c r="S6" s="59">
        <f>+Table13[[#This Row],[Actual total expenditure (Dec2023) Q1]]+Table13[[#This Row],[Actual total expenditure (Mar2024) Q2]]+Table13[[#This Row],[Actual total expenditure (Jun2024) Q3]]+Table13[[#This Row],[Actual total expenditure (Jun2024) Q4]]</f>
        <v>6209.76</v>
      </c>
      <c r="T6" s="59">
        <f>+Table13[[#This Row],[Planned total expenditure
(GBP)]]-Table13[[#This Row],[Total expenditure Q1+Q2+Q3+Q4]]</f>
        <v>0.23999999999978172</v>
      </c>
      <c r="U6" s="167">
        <f>S6/F6</f>
        <v>0.99996135265700492</v>
      </c>
      <c r="V6" s="55"/>
      <c r="W6" s="55"/>
      <c r="X6" s="55"/>
      <c r="Y6" s="55"/>
    </row>
    <row r="7" spans="2:25" ht="15.75" customHeight="1">
      <c r="B7" s="56" t="s">
        <v>122</v>
      </c>
      <c r="C7" s="56" t="s">
        <v>123</v>
      </c>
      <c r="D7" s="155" t="s">
        <v>118</v>
      </c>
      <c r="E7" s="122"/>
      <c r="F7" s="125">
        <v>4830</v>
      </c>
      <c r="G7" s="55">
        <v>0</v>
      </c>
      <c r="H7" s="55">
        <v>3294.96</v>
      </c>
      <c r="I7" s="55">
        <v>1422.48</v>
      </c>
      <c r="J7" s="55">
        <v>112.55</v>
      </c>
      <c r="K7" s="90">
        <v>0</v>
      </c>
      <c r="L7" s="55">
        <f>Table13[[#This Row],[Total direct expenditure Q1
(GBP)]]*Table13[[#This Row],[Overhead %]]</f>
        <v>0</v>
      </c>
      <c r="M7" s="55">
        <f>+Table13[[#This Row],[Total direct expenditure Q2
(GBP)2]]*Table13[[#This Row],[Overhead %]]</f>
        <v>0</v>
      </c>
      <c r="N7" s="55">
        <f>+Table13[[#This Row],[Total direct expenditure Q3
(GBP)3]]*Table13[[#This Row],[Overhead %]]</f>
        <v>0</v>
      </c>
      <c r="O7" s="55">
        <f>Table13[[#This Row],[Total direct expenditure Q1
(GBP)]]+Table13[[#This Row],[Overhead Q1 total]]</f>
        <v>0</v>
      </c>
      <c r="P7" s="55">
        <f>+Table13[[#This Row],[Total direct expenditure Q2
(GBP)2]]+Table13[[#This Row],[Overhead Q2 total2]]</f>
        <v>3294.96</v>
      </c>
      <c r="Q7" s="59">
        <f>+Table13[[#This Row],[Total direct expenditure Q3
(GBP)3]]+Table13[[#This Row],[Overhead Q3 total3]]</f>
        <v>1422.48</v>
      </c>
      <c r="R7" s="59">
        <f>+Table13[[#This Row],[Total direct expenditure Q4
(GBP)4]]</f>
        <v>112.55</v>
      </c>
      <c r="S7" s="59">
        <f>+Table13[[#This Row],[Actual total expenditure (Dec2023) Q1]]+Table13[[#This Row],[Actual total expenditure (Mar2024) Q2]]+Table13[[#This Row],[Actual total expenditure (Jun2024) Q3]]+Table13[[#This Row],[Actual total expenditure (Jun2024) Q4]]</f>
        <v>4829.9900000000007</v>
      </c>
      <c r="T7" s="59">
        <f>+Table13[[#This Row],[Planned total expenditure
(GBP)]]-Table13[[#This Row],[Total expenditure Q1+Q2+Q3+Q4]]</f>
        <v>9.999999999308784E-3</v>
      </c>
      <c r="U7" s="168">
        <f>S7/F7</f>
        <v>0.99999792960662537</v>
      </c>
      <c r="V7" s="152" t="s">
        <v>287</v>
      </c>
      <c r="W7" s="145" t="s">
        <v>288</v>
      </c>
      <c r="X7" s="147" t="s">
        <v>289</v>
      </c>
      <c r="Y7" s="147" t="s">
        <v>290</v>
      </c>
    </row>
    <row r="8" spans="2:25" ht="15.75" customHeight="1">
      <c r="B8" s="56" t="s">
        <v>124</v>
      </c>
      <c r="C8" s="56" t="s">
        <v>125</v>
      </c>
      <c r="D8" s="122" t="s">
        <v>118</v>
      </c>
      <c r="E8" s="122"/>
      <c r="F8" s="125">
        <v>4830</v>
      </c>
      <c r="G8" s="55">
        <v>0</v>
      </c>
      <c r="H8" s="55">
        <v>3294.96</v>
      </c>
      <c r="I8" s="55">
        <v>0</v>
      </c>
      <c r="J8" s="55">
        <v>1534.82</v>
      </c>
      <c r="K8" s="90">
        <v>0</v>
      </c>
      <c r="L8" s="55">
        <f>Table13[[#This Row],[Total direct expenditure Q1
(GBP)]]*Table13[[#This Row],[Overhead %]]</f>
        <v>0</v>
      </c>
      <c r="M8" s="55">
        <f>+Table13[[#This Row],[Total direct expenditure Q2
(GBP)2]]*Table13[[#This Row],[Overhead %]]</f>
        <v>0</v>
      </c>
      <c r="N8" s="55">
        <f>+Table13[[#This Row],[Total direct expenditure Q3
(GBP)3]]*Table13[[#This Row],[Overhead %]]</f>
        <v>0</v>
      </c>
      <c r="O8" s="55">
        <f>Table13[[#This Row],[Total direct expenditure Q1
(GBP)]]+Table13[[#This Row],[Overhead Q1 total]]</f>
        <v>0</v>
      </c>
      <c r="P8" s="55">
        <f>+Table13[[#This Row],[Total direct expenditure Q2
(GBP)2]]+Table13[[#This Row],[Overhead Q2 total2]]</f>
        <v>3294.96</v>
      </c>
      <c r="Q8" s="59">
        <f>+Table13[[#This Row],[Total direct expenditure Q3
(GBP)3]]+Table13[[#This Row],[Overhead Q3 total3]]</f>
        <v>0</v>
      </c>
      <c r="R8" s="59">
        <f>+Table13[[#This Row],[Total direct expenditure Q4
(GBP)4]]</f>
        <v>1534.82</v>
      </c>
      <c r="S8" s="59">
        <f>+Table13[[#This Row],[Actual total expenditure (Dec2023) Q1]]+Table13[[#This Row],[Actual total expenditure (Mar2024) Q2]]+Table13[[#This Row],[Actual total expenditure (Jun2024) Q3]]+Table13[[#This Row],[Actual total expenditure (Jun2024) Q4]]</f>
        <v>4829.78</v>
      </c>
      <c r="T8" s="59">
        <f>+Table13[[#This Row],[Planned total expenditure
(GBP)]]-Table13[[#This Row],[Total expenditure Q1+Q2+Q3+Q4]]</f>
        <v>0.22000000000025466</v>
      </c>
      <c r="U8" s="167">
        <f t="shared" ref="U8:U45" si="0">S8/F8</f>
        <v>0.99995445134575567</v>
      </c>
      <c r="V8" s="55"/>
      <c r="W8" s="55"/>
      <c r="X8" s="55"/>
      <c r="Y8" s="55"/>
    </row>
    <row r="9" spans="2:25" ht="15.75" customHeight="1">
      <c r="B9" s="56" t="s">
        <v>126</v>
      </c>
      <c r="C9" s="56" t="s">
        <v>127</v>
      </c>
      <c r="D9" s="122" t="s">
        <v>118</v>
      </c>
      <c r="E9" s="122"/>
      <c r="F9" s="125">
        <v>4830</v>
      </c>
      <c r="G9" s="55">
        <v>0</v>
      </c>
      <c r="H9" s="55">
        <v>2272.65</v>
      </c>
      <c r="I9" s="55">
        <v>0</v>
      </c>
      <c r="J9" s="55">
        <v>2556.98</v>
      </c>
      <c r="K9" s="90">
        <v>0</v>
      </c>
      <c r="L9" s="55">
        <f>Table13[[#This Row],[Total direct expenditure Q1
(GBP)]]*Table13[[#This Row],[Overhead %]]</f>
        <v>0</v>
      </c>
      <c r="M9" s="55">
        <f>+Table13[[#This Row],[Total direct expenditure Q2
(GBP)2]]*Table13[[#This Row],[Overhead %]]</f>
        <v>0</v>
      </c>
      <c r="N9" s="55">
        <f>+Table13[[#This Row],[Total direct expenditure Q3
(GBP)3]]*Table13[[#This Row],[Overhead %]]</f>
        <v>0</v>
      </c>
      <c r="O9" s="55">
        <f>Table13[[#This Row],[Total direct expenditure Q1
(GBP)]]+Table13[[#This Row],[Overhead Q1 total]]</f>
        <v>0</v>
      </c>
      <c r="P9" s="55">
        <f>+Table13[[#This Row],[Total direct expenditure Q2
(GBP)2]]+Table13[[#This Row],[Overhead Q2 total2]]</f>
        <v>2272.65</v>
      </c>
      <c r="Q9" s="59">
        <f>+Table13[[#This Row],[Total direct expenditure Q3
(GBP)3]]+Table13[[#This Row],[Overhead Q3 total3]]</f>
        <v>0</v>
      </c>
      <c r="R9" s="59">
        <f>+Table13[[#This Row],[Total direct expenditure Q4
(GBP)4]]</f>
        <v>2556.98</v>
      </c>
      <c r="S9" s="59">
        <f>+Table13[[#This Row],[Actual total expenditure (Dec2023) Q1]]+Table13[[#This Row],[Actual total expenditure (Mar2024) Q2]]+Table13[[#This Row],[Actual total expenditure (Jun2024) Q3]]+Table13[[#This Row],[Actual total expenditure (Jun2024) Q4]]</f>
        <v>4829.63</v>
      </c>
      <c r="T9" s="59">
        <f>+Table13[[#This Row],[Planned total expenditure
(GBP)]]-Table13[[#This Row],[Total expenditure Q1+Q2+Q3+Q4]]</f>
        <v>0.36999999999989086</v>
      </c>
      <c r="U9" s="167">
        <f t="shared" si="0"/>
        <v>0.99992339544513464</v>
      </c>
      <c r="V9" s="55"/>
      <c r="W9" s="55"/>
      <c r="X9" s="55"/>
      <c r="Y9" s="55"/>
    </row>
    <row r="10" spans="2:25" ht="15.75" customHeight="1">
      <c r="B10" s="56" t="s">
        <v>128</v>
      </c>
      <c r="C10" s="56" t="s">
        <v>129</v>
      </c>
      <c r="D10" s="122" t="s">
        <v>118</v>
      </c>
      <c r="E10" s="122"/>
      <c r="F10" s="125">
        <v>4830</v>
      </c>
      <c r="G10" s="55">
        <v>0</v>
      </c>
      <c r="H10" s="55">
        <v>568.16</v>
      </c>
      <c r="I10" s="55">
        <v>0</v>
      </c>
      <c r="J10" s="55">
        <v>1933.3</v>
      </c>
      <c r="K10" s="90">
        <v>0</v>
      </c>
      <c r="L10" s="55">
        <f>Table13[[#This Row],[Total direct expenditure Q1
(GBP)]]*Table13[[#This Row],[Overhead %]]</f>
        <v>0</v>
      </c>
      <c r="M10" s="55">
        <f>+Table13[[#This Row],[Total direct expenditure Q2
(GBP)2]]*Table13[[#This Row],[Overhead %]]</f>
        <v>0</v>
      </c>
      <c r="N10" s="55">
        <f>+Table13[[#This Row],[Total direct expenditure Q3
(GBP)3]]*Table13[[#This Row],[Overhead %]]</f>
        <v>0</v>
      </c>
      <c r="O10" s="55">
        <f>Table13[[#This Row],[Total direct expenditure Q1
(GBP)]]+Table13[[#This Row],[Overhead Q1 total]]</f>
        <v>0</v>
      </c>
      <c r="P10" s="55">
        <f>+Table13[[#This Row],[Total direct expenditure Q2
(GBP)2]]+Table13[[#This Row],[Overhead Q2 total2]]</f>
        <v>568.16</v>
      </c>
      <c r="Q10" s="59">
        <f>+Table13[[#This Row],[Total direct expenditure Q3
(GBP)3]]+Table13[[#This Row],[Overhead Q3 total3]]</f>
        <v>0</v>
      </c>
      <c r="R10" s="59">
        <f>+Table13[[#This Row],[Total direct expenditure Q4
(GBP)4]]</f>
        <v>1933.3</v>
      </c>
      <c r="S10" s="59">
        <f>+Table13[[#This Row],[Actual total expenditure (Dec2023) Q1]]+Table13[[#This Row],[Actual total expenditure (Mar2024) Q2]]+Table13[[#This Row],[Actual total expenditure (Jun2024) Q3]]+Table13[[#This Row],[Actual total expenditure (Jun2024) Q4]]</f>
        <v>2501.46</v>
      </c>
      <c r="T10" s="59">
        <f>+Table13[[#This Row],[Planned total expenditure
(GBP)]]-Table13[[#This Row],[Total expenditure Q1+Q2+Q3+Q4]]</f>
        <v>2328.54</v>
      </c>
      <c r="U10" s="167">
        <f t="shared" si="0"/>
        <v>0.51790062111801238</v>
      </c>
      <c r="V10" s="55"/>
      <c r="W10" s="55"/>
      <c r="X10" s="55"/>
      <c r="Y10" s="55"/>
    </row>
    <row r="11" spans="2:25" ht="15.75" customHeight="1">
      <c r="B11" s="56" t="s">
        <v>130</v>
      </c>
      <c r="C11" s="56" t="s">
        <v>131</v>
      </c>
      <c r="D11" s="122" t="s">
        <v>132</v>
      </c>
      <c r="E11" s="122"/>
      <c r="F11" s="125">
        <v>14400</v>
      </c>
      <c r="G11" s="55">
        <v>0</v>
      </c>
      <c r="H11" s="55">
        <v>0</v>
      </c>
      <c r="I11" s="55">
        <v>0</v>
      </c>
      <c r="J11" s="55">
        <v>14192.42</v>
      </c>
      <c r="K11" s="90">
        <v>0</v>
      </c>
      <c r="L11" s="55">
        <f>Table13[[#This Row],[Total direct expenditure Q1
(GBP)]]*Table13[[#This Row],[Overhead %]]</f>
        <v>0</v>
      </c>
      <c r="M11" s="55">
        <f>+Table13[[#This Row],[Total direct expenditure Q2
(GBP)2]]*Table13[[#This Row],[Overhead %]]</f>
        <v>0</v>
      </c>
      <c r="N11" s="55">
        <f>+Table13[[#This Row],[Total direct expenditure Q3
(GBP)3]]*Table13[[#This Row],[Overhead %]]</f>
        <v>0</v>
      </c>
      <c r="O11" s="55">
        <f>Table13[[#This Row],[Total direct expenditure Q1
(GBP)]]+Table13[[#This Row],[Overhead Q1 total]]</f>
        <v>0</v>
      </c>
      <c r="P11" s="55">
        <f>+Table13[[#This Row],[Total direct expenditure Q2
(GBP)2]]+Table13[[#This Row],[Overhead Q2 total2]]</f>
        <v>0</v>
      </c>
      <c r="Q11" s="59">
        <f>+Table13[[#This Row],[Total direct expenditure Q3
(GBP)3]]+Table13[[#This Row],[Overhead Q3 total3]]</f>
        <v>0</v>
      </c>
      <c r="R11" s="59">
        <f>+Table13[[#This Row],[Total direct expenditure Q4
(GBP)4]]</f>
        <v>14192.42</v>
      </c>
      <c r="S11" s="59">
        <f>+Table13[[#This Row],[Actual total expenditure (Dec2023) Q1]]+Table13[[#This Row],[Actual total expenditure (Mar2024) Q2]]+Table13[[#This Row],[Actual total expenditure (Jun2024) Q3]]+Table13[[#This Row],[Actual total expenditure (Jun2024) Q4]]</f>
        <v>14192.42</v>
      </c>
      <c r="T11" s="59">
        <f>+Table13[[#This Row],[Planned total expenditure
(GBP)]]-Table13[[#This Row],[Total expenditure Q1+Q2+Q3+Q4]]</f>
        <v>207.57999999999993</v>
      </c>
      <c r="U11" s="167">
        <f t="shared" si="0"/>
        <v>0.98558472222222226</v>
      </c>
      <c r="V11" s="55"/>
      <c r="W11" s="55"/>
      <c r="X11" s="55"/>
      <c r="Y11" s="55"/>
    </row>
    <row r="12" spans="2:25" ht="15.75" customHeight="1">
      <c r="B12" s="56" t="s">
        <v>134</v>
      </c>
      <c r="C12" s="56" t="s">
        <v>135</v>
      </c>
      <c r="D12" s="122" t="s">
        <v>118</v>
      </c>
      <c r="E12" s="122"/>
      <c r="F12" s="125">
        <v>24400</v>
      </c>
      <c r="G12" s="55">
        <v>0</v>
      </c>
      <c r="H12" s="55">
        <v>5883.92</v>
      </c>
      <c r="I12" s="55">
        <v>2004.29</v>
      </c>
      <c r="J12" s="55">
        <v>16509.38</v>
      </c>
      <c r="K12" s="90">
        <v>0</v>
      </c>
      <c r="L12" s="55">
        <f>Table13[[#This Row],[Total direct expenditure Q1
(GBP)]]*Table13[[#This Row],[Overhead %]]</f>
        <v>0</v>
      </c>
      <c r="M12" s="55">
        <f>+Table13[[#This Row],[Total direct expenditure Q2
(GBP)2]]*Table13[[#This Row],[Overhead %]]</f>
        <v>0</v>
      </c>
      <c r="N12" s="55">
        <f>+Table13[[#This Row],[Total direct expenditure Q3
(GBP)3]]*Table13[[#This Row],[Overhead %]]</f>
        <v>0</v>
      </c>
      <c r="O12" s="55">
        <f>Table13[[#This Row],[Total direct expenditure Q1
(GBP)]]+Table13[[#This Row],[Overhead Q1 total]]</f>
        <v>0</v>
      </c>
      <c r="P12" s="55">
        <f>+Table13[[#This Row],[Total direct expenditure Q2
(GBP)2]]+Table13[[#This Row],[Overhead Q2 total2]]</f>
        <v>5883.92</v>
      </c>
      <c r="Q12" s="59">
        <f>+Table13[[#This Row],[Total direct expenditure Q3
(GBP)3]]+Table13[[#This Row],[Overhead Q3 total3]]</f>
        <v>2004.29</v>
      </c>
      <c r="R12" s="59">
        <f>+Table13[[#This Row],[Total direct expenditure Q4
(GBP)4]]</f>
        <v>16509.38</v>
      </c>
      <c r="S12" s="59">
        <f>+Table13[[#This Row],[Actual total expenditure (Dec2023) Q1]]+Table13[[#This Row],[Actual total expenditure (Mar2024) Q2]]+Table13[[#This Row],[Actual total expenditure (Jun2024) Q3]]+Table13[[#This Row],[Actual total expenditure (Jun2024) Q4]]</f>
        <v>24397.59</v>
      </c>
      <c r="T12" s="59">
        <f>+Table13[[#This Row],[Planned total expenditure
(GBP)]]-Table13[[#This Row],[Total expenditure Q1+Q2+Q3+Q4]]</f>
        <v>2.4099999999998545</v>
      </c>
      <c r="U12" s="167">
        <f t="shared" si="0"/>
        <v>0.99990122950819671</v>
      </c>
      <c r="V12" s="55"/>
      <c r="W12" s="55"/>
      <c r="X12" s="55"/>
      <c r="Y12" s="55"/>
    </row>
    <row r="13" spans="2:25" ht="15.75" customHeight="1">
      <c r="B13" s="56" t="s">
        <v>136</v>
      </c>
      <c r="C13" s="56" t="s">
        <v>137</v>
      </c>
      <c r="D13" s="122" t="s">
        <v>132</v>
      </c>
      <c r="E13" s="122"/>
      <c r="F13" s="125">
        <v>12000</v>
      </c>
      <c r="G13" s="55">
        <v>0</v>
      </c>
      <c r="H13" s="55">
        <v>0</v>
      </c>
      <c r="I13" s="55">
        <v>0</v>
      </c>
      <c r="J13" s="55">
        <v>11998.32</v>
      </c>
      <c r="K13" s="90">
        <v>0</v>
      </c>
      <c r="L13" s="55">
        <f>Table13[[#This Row],[Total direct expenditure Q1
(GBP)]]*Table13[[#This Row],[Overhead %]]</f>
        <v>0</v>
      </c>
      <c r="M13" s="55">
        <f>+Table13[[#This Row],[Total direct expenditure Q2
(GBP)2]]*Table13[[#This Row],[Overhead %]]</f>
        <v>0</v>
      </c>
      <c r="N13" s="55">
        <f>+Table13[[#This Row],[Total direct expenditure Q3
(GBP)3]]*Table13[[#This Row],[Overhead %]]</f>
        <v>0</v>
      </c>
      <c r="O13" s="55">
        <f>Table13[[#This Row],[Total direct expenditure Q1
(GBP)]]+Table13[[#This Row],[Overhead Q1 total]]</f>
        <v>0</v>
      </c>
      <c r="P13" s="55">
        <f>+Table13[[#This Row],[Total direct expenditure Q2
(GBP)2]]+Table13[[#This Row],[Overhead Q2 total2]]</f>
        <v>0</v>
      </c>
      <c r="Q13" s="59">
        <f>+Table13[[#This Row],[Total direct expenditure Q3
(GBP)3]]+Table13[[#This Row],[Overhead Q3 total3]]</f>
        <v>0</v>
      </c>
      <c r="R13" s="59">
        <f>+Table13[[#This Row],[Total direct expenditure Q4
(GBP)4]]</f>
        <v>11998.32</v>
      </c>
      <c r="S13" s="59">
        <f>+Table13[[#This Row],[Actual total expenditure (Dec2023) Q1]]+Table13[[#This Row],[Actual total expenditure (Mar2024) Q2]]+Table13[[#This Row],[Actual total expenditure (Jun2024) Q3]]+Table13[[#This Row],[Actual total expenditure (Jun2024) Q4]]</f>
        <v>11998.32</v>
      </c>
      <c r="T13" s="59">
        <f>+Table13[[#This Row],[Planned total expenditure
(GBP)]]-Table13[[#This Row],[Total expenditure Q1+Q2+Q3+Q4]]</f>
        <v>1.680000000000291</v>
      </c>
      <c r="U13" s="167">
        <f t="shared" si="0"/>
        <v>0.99985999999999997</v>
      </c>
      <c r="V13" s="55"/>
      <c r="W13" s="55"/>
      <c r="X13" s="55"/>
      <c r="Y13" s="55"/>
    </row>
    <row r="14" spans="2:25" ht="15.75" customHeight="1">
      <c r="B14" s="56" t="s">
        <v>138</v>
      </c>
      <c r="C14" s="56" t="s">
        <v>139</v>
      </c>
      <c r="D14" s="122" t="s">
        <v>118</v>
      </c>
      <c r="E14" s="122" t="s">
        <v>140</v>
      </c>
      <c r="F14" s="125">
        <v>75768</v>
      </c>
      <c r="G14" s="55">
        <v>0</v>
      </c>
      <c r="H14" s="55">
        <v>27621.43</v>
      </c>
      <c r="I14" s="55">
        <v>3670.44</v>
      </c>
      <c r="J14" s="55">
        <v>44469.64</v>
      </c>
      <c r="K14" s="90">
        <v>0</v>
      </c>
      <c r="L14" s="55">
        <f>Table13[[#This Row],[Total direct expenditure Q1
(GBP)]]*Table13[[#This Row],[Overhead %]]</f>
        <v>0</v>
      </c>
      <c r="M14" s="55">
        <f>+Table13[[#This Row],[Total direct expenditure Q2
(GBP)2]]*Table13[[#This Row],[Overhead %]]</f>
        <v>0</v>
      </c>
      <c r="N14" s="55">
        <f>+Table13[[#This Row],[Total direct expenditure Q3
(GBP)3]]*Table13[[#This Row],[Overhead %]]</f>
        <v>0</v>
      </c>
      <c r="O14" s="55">
        <f>Table13[[#This Row],[Total direct expenditure Q1
(GBP)]]+Table13[[#This Row],[Overhead Q1 total]]</f>
        <v>0</v>
      </c>
      <c r="P14" s="55">
        <f>+Table13[[#This Row],[Total direct expenditure Q2
(GBP)2]]+Table13[[#This Row],[Overhead Q2 total2]]</f>
        <v>27621.43</v>
      </c>
      <c r="Q14" s="59">
        <f>+Table13[[#This Row],[Total direct expenditure Q3
(GBP)3]]+Table13[[#This Row],[Overhead Q3 total3]]</f>
        <v>3670.44</v>
      </c>
      <c r="R14" s="59">
        <f>+Table13[[#This Row],[Total direct expenditure Q4
(GBP)4]]</f>
        <v>44469.64</v>
      </c>
      <c r="S14" s="59">
        <f>+Table13[[#This Row],[Actual total expenditure (Dec2023) Q1]]+Table13[[#This Row],[Actual total expenditure (Mar2024) Q2]]+Table13[[#This Row],[Actual total expenditure (Jun2024) Q3]]+Table13[[#This Row],[Actual total expenditure (Jun2024) Q4]]</f>
        <v>75761.509999999995</v>
      </c>
      <c r="T14" s="59">
        <f>+Table13[[#This Row],[Planned total expenditure
(GBP)]]-Table13[[#This Row],[Total expenditure Q1+Q2+Q3+Q4]]</f>
        <v>6.4900000000052387</v>
      </c>
      <c r="U14" s="167">
        <f>S14/F14</f>
        <v>0.99991434378629496</v>
      </c>
      <c r="V14" s="144" t="s">
        <v>291</v>
      </c>
      <c r="W14" s="55" t="s">
        <v>292</v>
      </c>
      <c r="X14" s="156" t="s">
        <v>293</v>
      </c>
      <c r="Y14" s="156" t="s">
        <v>294</v>
      </c>
    </row>
    <row r="15" spans="2:25" ht="15.75" customHeight="1">
      <c r="B15" s="56" t="s">
        <v>141</v>
      </c>
      <c r="C15" s="56" t="s">
        <v>142</v>
      </c>
      <c r="D15" s="122" t="s">
        <v>132</v>
      </c>
      <c r="E15" s="122"/>
      <c r="F15" s="125">
        <v>4250</v>
      </c>
      <c r="G15" s="55">
        <v>0</v>
      </c>
      <c r="H15" s="55">
        <v>0</v>
      </c>
      <c r="I15" s="55">
        <v>0</v>
      </c>
      <c r="J15" s="55">
        <v>3760</v>
      </c>
      <c r="K15" s="90">
        <v>0</v>
      </c>
      <c r="L15" s="55">
        <f>Table13[[#This Row],[Total direct expenditure Q1
(GBP)]]*Table13[[#This Row],[Overhead %]]</f>
        <v>0</v>
      </c>
      <c r="M15" s="55">
        <f>+Table13[[#This Row],[Total direct expenditure Q2
(GBP)2]]*Table13[[#This Row],[Overhead %]]</f>
        <v>0</v>
      </c>
      <c r="N15" s="55">
        <f>+Table13[[#This Row],[Total direct expenditure Q3
(GBP)3]]*Table13[[#This Row],[Overhead %]]</f>
        <v>0</v>
      </c>
      <c r="O15" s="55">
        <f>Table13[[#This Row],[Total direct expenditure Q1
(GBP)]]+Table13[[#This Row],[Overhead Q1 total]]</f>
        <v>0</v>
      </c>
      <c r="P15" s="55">
        <f>+Table13[[#This Row],[Total direct expenditure Q2
(GBP)2]]+Table13[[#This Row],[Overhead Q2 total2]]</f>
        <v>0</v>
      </c>
      <c r="Q15" s="59">
        <f>+Table13[[#This Row],[Total direct expenditure Q3
(GBP)3]]+Table13[[#This Row],[Overhead Q3 total3]]</f>
        <v>0</v>
      </c>
      <c r="R15" s="59">
        <f>+Table13[[#This Row],[Total direct expenditure Q4
(GBP)4]]</f>
        <v>3760</v>
      </c>
      <c r="S15" s="59">
        <f>+Table13[[#This Row],[Actual total expenditure (Dec2023) Q1]]+Table13[[#This Row],[Actual total expenditure (Mar2024) Q2]]+Table13[[#This Row],[Actual total expenditure (Jun2024) Q3]]+Table13[[#This Row],[Actual total expenditure (Jun2024) Q4]]</f>
        <v>3760</v>
      </c>
      <c r="T15" s="59">
        <f>+Table13[[#This Row],[Planned total expenditure
(GBP)]]-Table13[[#This Row],[Total expenditure Q1+Q2+Q3+Q4]]</f>
        <v>490</v>
      </c>
      <c r="U15" s="167">
        <f t="shared" si="0"/>
        <v>0.88470588235294123</v>
      </c>
      <c r="V15" s="55"/>
      <c r="W15" s="55"/>
      <c r="X15" s="55"/>
      <c r="Y15" s="55"/>
    </row>
    <row r="16" spans="2:25" ht="15.75" customHeight="1">
      <c r="B16" s="56" t="s">
        <v>143</v>
      </c>
      <c r="C16" s="56" t="s">
        <v>144</v>
      </c>
      <c r="D16" s="122" t="s">
        <v>132</v>
      </c>
      <c r="E16" s="122"/>
      <c r="F16" s="125">
        <v>2250</v>
      </c>
      <c r="G16" s="55">
        <v>0</v>
      </c>
      <c r="H16" s="55">
        <v>0</v>
      </c>
      <c r="I16" s="55">
        <v>0</v>
      </c>
      <c r="J16" s="55">
        <v>2286.38</v>
      </c>
      <c r="K16" s="90">
        <v>0</v>
      </c>
      <c r="L16" s="55">
        <f>Table13[[#This Row],[Total direct expenditure Q1
(GBP)]]*Table13[[#This Row],[Overhead %]]</f>
        <v>0</v>
      </c>
      <c r="M16" s="55">
        <f>+Table13[[#This Row],[Total direct expenditure Q2
(GBP)2]]*Table13[[#This Row],[Overhead %]]</f>
        <v>0</v>
      </c>
      <c r="N16" s="55">
        <f>+Table13[[#This Row],[Total direct expenditure Q3
(GBP)3]]*Table13[[#This Row],[Overhead %]]</f>
        <v>0</v>
      </c>
      <c r="O16" s="55">
        <f>Table13[[#This Row],[Total direct expenditure Q1
(GBP)]]+Table13[[#This Row],[Overhead Q1 total]]</f>
        <v>0</v>
      </c>
      <c r="P16" s="55">
        <f>+Table13[[#This Row],[Total direct expenditure Q2
(GBP)2]]+Table13[[#This Row],[Overhead Q2 total2]]</f>
        <v>0</v>
      </c>
      <c r="Q16" s="59">
        <f>+Table13[[#This Row],[Total direct expenditure Q3
(GBP)3]]+Table13[[#This Row],[Overhead Q3 total3]]</f>
        <v>0</v>
      </c>
      <c r="R16" s="59">
        <f>+Table13[[#This Row],[Total direct expenditure Q4
(GBP)4]]</f>
        <v>2286.38</v>
      </c>
      <c r="S16" s="59">
        <f>+Table13[[#This Row],[Actual total expenditure (Dec2023) Q1]]+Table13[[#This Row],[Actual total expenditure (Mar2024) Q2]]+Table13[[#This Row],[Actual total expenditure (Jun2024) Q3]]+Table13[[#This Row],[Actual total expenditure (Jun2024) Q4]]</f>
        <v>2286.38</v>
      </c>
      <c r="T16" s="59">
        <f>+Table13[[#This Row],[Planned total expenditure
(GBP)]]-Table13[[#This Row],[Total expenditure Q1+Q2+Q3+Q4]]</f>
        <v>-36.380000000000109</v>
      </c>
      <c r="U16" s="167">
        <f t="shared" si="0"/>
        <v>1.0161688888888889</v>
      </c>
      <c r="V16" s="55"/>
      <c r="W16" s="55"/>
      <c r="X16" s="55"/>
      <c r="Y16" s="55"/>
    </row>
    <row r="17" spans="2:25" ht="15.75" customHeight="1">
      <c r="B17" s="56" t="s">
        <v>145</v>
      </c>
      <c r="C17" s="56" t="s">
        <v>146</v>
      </c>
      <c r="D17" s="122" t="s">
        <v>132</v>
      </c>
      <c r="E17" s="122"/>
      <c r="F17" s="125">
        <v>2250</v>
      </c>
      <c r="G17" s="55">
        <v>0</v>
      </c>
      <c r="H17" s="55">
        <v>0</v>
      </c>
      <c r="I17" s="55">
        <v>0</v>
      </c>
      <c r="J17" s="55">
        <v>2179.75</v>
      </c>
      <c r="K17" s="90">
        <v>0</v>
      </c>
      <c r="L17" s="55">
        <f>Table13[[#This Row],[Total direct expenditure Q1
(GBP)]]*Table13[[#This Row],[Overhead %]]</f>
        <v>0</v>
      </c>
      <c r="M17" s="55">
        <f>+Table13[[#This Row],[Total direct expenditure Q2
(GBP)2]]*Table13[[#This Row],[Overhead %]]</f>
        <v>0</v>
      </c>
      <c r="N17" s="55">
        <f>+Table13[[#This Row],[Total direct expenditure Q3
(GBP)3]]*Table13[[#This Row],[Overhead %]]</f>
        <v>0</v>
      </c>
      <c r="O17" s="55">
        <f>Table13[[#This Row],[Total direct expenditure Q1
(GBP)]]+Table13[[#This Row],[Overhead Q1 total]]</f>
        <v>0</v>
      </c>
      <c r="P17" s="55">
        <f>+Table13[[#This Row],[Total direct expenditure Q2
(GBP)2]]+Table13[[#This Row],[Overhead Q2 total2]]</f>
        <v>0</v>
      </c>
      <c r="Q17" s="59">
        <f>+Table13[[#This Row],[Total direct expenditure Q3
(GBP)3]]+Table13[[#This Row],[Overhead Q3 total3]]</f>
        <v>0</v>
      </c>
      <c r="R17" s="59">
        <f>+Table13[[#This Row],[Total direct expenditure Q4
(GBP)4]]</f>
        <v>2179.75</v>
      </c>
      <c r="S17" s="59">
        <f>+Table13[[#This Row],[Actual total expenditure (Dec2023) Q1]]+Table13[[#This Row],[Actual total expenditure (Mar2024) Q2]]+Table13[[#This Row],[Actual total expenditure (Jun2024) Q3]]+Table13[[#This Row],[Actual total expenditure (Jun2024) Q4]]</f>
        <v>2179.75</v>
      </c>
      <c r="T17" s="59">
        <f>+Table13[[#This Row],[Planned total expenditure
(GBP)]]-Table13[[#This Row],[Total expenditure Q1+Q2+Q3+Q4]]</f>
        <v>70.25</v>
      </c>
      <c r="U17" s="167">
        <f t="shared" si="0"/>
        <v>0.96877777777777774</v>
      </c>
      <c r="V17" s="55"/>
      <c r="W17" s="55"/>
      <c r="X17" s="55"/>
      <c r="Y17" s="55"/>
    </row>
    <row r="18" spans="2:25" ht="15.75" customHeight="1">
      <c r="B18" s="56" t="s">
        <v>147</v>
      </c>
      <c r="C18" s="56" t="s">
        <v>148</v>
      </c>
      <c r="D18" s="122" t="s">
        <v>118</v>
      </c>
      <c r="E18" s="122"/>
      <c r="F18" s="125">
        <v>12750</v>
      </c>
      <c r="G18" s="55">
        <v>0</v>
      </c>
      <c r="H18" s="55">
        <v>5448.42</v>
      </c>
      <c r="I18" s="55">
        <v>3852.26</v>
      </c>
      <c r="J18" s="55">
        <v>2513.83</v>
      </c>
      <c r="K18" s="90">
        <v>0</v>
      </c>
      <c r="L18" s="55">
        <f>Table13[[#This Row],[Total direct expenditure Q1
(GBP)]]*Table13[[#This Row],[Overhead %]]</f>
        <v>0</v>
      </c>
      <c r="M18" s="55">
        <f>+Table13[[#This Row],[Total direct expenditure Q2
(GBP)2]]*Table13[[#This Row],[Overhead %]]</f>
        <v>0</v>
      </c>
      <c r="N18" s="55">
        <f>+Table13[[#This Row],[Total direct expenditure Q3
(GBP)3]]*Table13[[#This Row],[Overhead %]]</f>
        <v>0</v>
      </c>
      <c r="O18" s="55">
        <f>Table13[[#This Row],[Total direct expenditure Q1
(GBP)]]+Table13[[#This Row],[Overhead Q1 total]]</f>
        <v>0</v>
      </c>
      <c r="P18" s="55">
        <f>+Table13[[#This Row],[Total direct expenditure Q2
(GBP)2]]+Table13[[#This Row],[Overhead Q2 total2]]</f>
        <v>5448.42</v>
      </c>
      <c r="Q18" s="59">
        <f>+Table13[[#This Row],[Total direct expenditure Q3
(GBP)3]]+Table13[[#This Row],[Overhead Q3 total3]]</f>
        <v>3852.26</v>
      </c>
      <c r="R18" s="59">
        <f>+Table13[[#This Row],[Total direct expenditure Q4
(GBP)4]]</f>
        <v>2513.83</v>
      </c>
      <c r="S18" s="59">
        <f>+Table13[[#This Row],[Actual total expenditure (Dec2023) Q1]]+Table13[[#This Row],[Actual total expenditure (Mar2024) Q2]]+Table13[[#This Row],[Actual total expenditure (Jun2024) Q3]]+Table13[[#This Row],[Actual total expenditure (Jun2024) Q4]]</f>
        <v>11814.51</v>
      </c>
      <c r="T18" s="59">
        <f>+Table13[[#This Row],[Planned total expenditure
(GBP)]]-Table13[[#This Row],[Total expenditure Q1+Q2+Q3+Q4]]</f>
        <v>935.48999999999978</v>
      </c>
      <c r="U18" s="167">
        <f t="shared" si="0"/>
        <v>0.92662823529411764</v>
      </c>
      <c r="V18" s="55"/>
      <c r="W18" s="55"/>
      <c r="X18" s="55"/>
      <c r="Y18" s="55"/>
    </row>
    <row r="19" spans="2:25" ht="15.75" customHeight="1">
      <c r="B19" s="56" t="s">
        <v>149</v>
      </c>
      <c r="C19" s="56" t="s">
        <v>150</v>
      </c>
      <c r="D19" s="122" t="s">
        <v>118</v>
      </c>
      <c r="E19" s="122"/>
      <c r="F19" s="125">
        <v>10800</v>
      </c>
      <c r="G19" s="55">
        <v>0</v>
      </c>
      <c r="H19" s="55">
        <v>3204.16</v>
      </c>
      <c r="I19" s="55">
        <v>1512.17</v>
      </c>
      <c r="J19" s="55">
        <v>1507.73</v>
      </c>
      <c r="K19" s="90">
        <v>0</v>
      </c>
      <c r="L19" s="55">
        <f>Table13[[#This Row],[Total direct expenditure Q1
(GBP)]]*Table13[[#This Row],[Overhead %]]</f>
        <v>0</v>
      </c>
      <c r="M19" s="55">
        <f>+Table13[[#This Row],[Total direct expenditure Q2
(GBP)2]]*Table13[[#This Row],[Overhead %]]</f>
        <v>0</v>
      </c>
      <c r="N19" s="55">
        <f>+Table13[[#This Row],[Total direct expenditure Q3
(GBP)3]]*Table13[[#This Row],[Overhead %]]</f>
        <v>0</v>
      </c>
      <c r="O19" s="55">
        <f>Table13[[#This Row],[Total direct expenditure Q1
(GBP)]]+Table13[[#This Row],[Overhead Q1 total]]</f>
        <v>0</v>
      </c>
      <c r="P19" s="55">
        <f>+Table13[[#This Row],[Total direct expenditure Q2
(GBP)2]]+Table13[[#This Row],[Overhead Q2 total2]]</f>
        <v>3204.16</v>
      </c>
      <c r="Q19" s="59">
        <f>+Table13[[#This Row],[Total direct expenditure Q3
(GBP)3]]+Table13[[#This Row],[Overhead Q3 total3]]</f>
        <v>1512.17</v>
      </c>
      <c r="R19" s="59">
        <f>+Table13[[#This Row],[Total direct expenditure Q4
(GBP)4]]</f>
        <v>1507.73</v>
      </c>
      <c r="S19" s="59">
        <f>+Table13[[#This Row],[Actual total expenditure (Dec2023) Q1]]+Table13[[#This Row],[Actual total expenditure (Mar2024) Q2]]+Table13[[#This Row],[Actual total expenditure (Jun2024) Q3]]+Table13[[#This Row],[Actual total expenditure (Jun2024) Q4]]</f>
        <v>6224.0599999999995</v>
      </c>
      <c r="T19" s="59">
        <f>+Table13[[#This Row],[Planned total expenditure
(GBP)]]-Table13[[#This Row],[Total expenditure Q1+Q2+Q3+Q4]]</f>
        <v>4575.9400000000005</v>
      </c>
      <c r="U19" s="167">
        <f t="shared" si="0"/>
        <v>0.57630185185185179</v>
      </c>
      <c r="V19" s="55"/>
      <c r="W19" s="55"/>
      <c r="X19" s="55"/>
      <c r="Y19" s="55"/>
    </row>
    <row r="20" spans="2:25" ht="15.75" customHeight="1">
      <c r="B20" s="56" t="s">
        <v>151</v>
      </c>
      <c r="C20" s="56" t="s">
        <v>152</v>
      </c>
      <c r="D20" s="122" t="s">
        <v>118</v>
      </c>
      <c r="E20" s="122"/>
      <c r="F20" s="125">
        <v>2800</v>
      </c>
      <c r="G20" s="55">
        <v>0</v>
      </c>
      <c r="H20" s="55">
        <v>322.33999999999997</v>
      </c>
      <c r="I20" s="55">
        <v>0</v>
      </c>
      <c r="J20" s="55">
        <v>1037.9100000000001</v>
      </c>
      <c r="K20" s="90">
        <v>0</v>
      </c>
      <c r="L20" s="55">
        <f>Table13[[#This Row],[Total direct expenditure Q1
(GBP)]]*Table13[[#This Row],[Overhead %]]</f>
        <v>0</v>
      </c>
      <c r="M20" s="55">
        <f>+Table13[[#This Row],[Total direct expenditure Q2
(GBP)2]]*Table13[[#This Row],[Overhead %]]</f>
        <v>0</v>
      </c>
      <c r="N20" s="55">
        <f>+Table13[[#This Row],[Total direct expenditure Q3
(GBP)3]]*Table13[[#This Row],[Overhead %]]</f>
        <v>0</v>
      </c>
      <c r="O20" s="55">
        <f>Table13[[#This Row],[Total direct expenditure Q1
(GBP)]]+Table13[[#This Row],[Overhead Q1 total]]</f>
        <v>0</v>
      </c>
      <c r="P20" s="55">
        <f>+Table13[[#This Row],[Total direct expenditure Q2
(GBP)2]]+Table13[[#This Row],[Overhead Q2 total2]]</f>
        <v>322.33999999999997</v>
      </c>
      <c r="Q20" s="59">
        <f>+Table13[[#This Row],[Total direct expenditure Q3
(GBP)3]]+Table13[[#This Row],[Overhead Q3 total3]]</f>
        <v>0</v>
      </c>
      <c r="R20" s="59">
        <f>+Table13[[#This Row],[Total direct expenditure Q4
(GBP)4]]</f>
        <v>1037.9100000000001</v>
      </c>
      <c r="S20" s="59">
        <f>+Table13[[#This Row],[Actual total expenditure (Dec2023) Q1]]+Table13[[#This Row],[Actual total expenditure (Mar2024) Q2]]+Table13[[#This Row],[Actual total expenditure (Jun2024) Q3]]+Table13[[#This Row],[Actual total expenditure (Jun2024) Q4]]</f>
        <v>1360.25</v>
      </c>
      <c r="T20" s="59">
        <f>+Table13[[#This Row],[Planned total expenditure
(GBP)]]-Table13[[#This Row],[Total expenditure Q1+Q2+Q3+Q4]]</f>
        <v>1439.75</v>
      </c>
      <c r="U20" s="167">
        <f t="shared" si="0"/>
        <v>0.48580357142857145</v>
      </c>
      <c r="V20" s="55"/>
      <c r="W20" s="55"/>
      <c r="X20" s="55"/>
      <c r="Y20" s="55"/>
    </row>
    <row r="21" spans="2:25" ht="15.75" customHeight="1">
      <c r="B21" s="56" t="s">
        <v>153</v>
      </c>
      <c r="C21" s="56" t="s">
        <v>154</v>
      </c>
      <c r="D21" s="122" t="s">
        <v>132</v>
      </c>
      <c r="E21" s="122"/>
      <c r="F21" s="125">
        <v>2310</v>
      </c>
      <c r="G21" s="55">
        <v>0</v>
      </c>
      <c r="H21" s="55">
        <v>0</v>
      </c>
      <c r="I21" s="55">
        <v>1256.54</v>
      </c>
      <c r="J21" s="55">
        <v>490.22</v>
      </c>
      <c r="K21" s="90">
        <v>0</v>
      </c>
      <c r="L21" s="55">
        <f>Table13[[#This Row],[Total direct expenditure Q1
(GBP)]]*Table13[[#This Row],[Overhead %]]</f>
        <v>0</v>
      </c>
      <c r="M21" s="55">
        <f>+Table13[[#This Row],[Total direct expenditure Q2
(GBP)2]]*Table13[[#This Row],[Overhead %]]</f>
        <v>0</v>
      </c>
      <c r="N21" s="55">
        <f>+Table13[[#This Row],[Total direct expenditure Q3
(GBP)3]]*Table13[[#This Row],[Overhead %]]</f>
        <v>0</v>
      </c>
      <c r="O21" s="55">
        <f>Table13[[#This Row],[Total direct expenditure Q1
(GBP)]]+Table13[[#This Row],[Overhead Q1 total]]</f>
        <v>0</v>
      </c>
      <c r="P21" s="55">
        <f>+Table13[[#This Row],[Total direct expenditure Q2
(GBP)2]]+Table13[[#This Row],[Overhead Q2 total2]]</f>
        <v>0</v>
      </c>
      <c r="Q21" s="59">
        <f>+Table13[[#This Row],[Total direct expenditure Q3
(GBP)3]]+Table13[[#This Row],[Overhead Q3 total3]]</f>
        <v>1256.54</v>
      </c>
      <c r="R21" s="59">
        <f>+Table13[[#This Row],[Total direct expenditure Q4
(GBP)4]]</f>
        <v>490.22</v>
      </c>
      <c r="S21" s="59">
        <f>+Table13[[#This Row],[Actual total expenditure (Dec2023) Q1]]+Table13[[#This Row],[Actual total expenditure (Mar2024) Q2]]+Table13[[#This Row],[Actual total expenditure (Jun2024) Q3]]+Table13[[#This Row],[Actual total expenditure (Jun2024) Q4]]</f>
        <v>1746.76</v>
      </c>
      <c r="T21" s="59">
        <f>+Table13[[#This Row],[Planned total expenditure
(GBP)]]-Table13[[#This Row],[Total expenditure Q1+Q2+Q3+Q4]]</f>
        <v>563.24</v>
      </c>
      <c r="U21" s="167">
        <f t="shared" si="0"/>
        <v>0.75617316017316016</v>
      </c>
      <c r="V21" s="55"/>
      <c r="W21" s="55"/>
      <c r="X21" s="55"/>
      <c r="Y21" s="55"/>
    </row>
    <row r="22" spans="2:25" ht="15.75" customHeight="1">
      <c r="B22" s="56" t="s">
        <v>155</v>
      </c>
      <c r="C22" s="56" t="s">
        <v>156</v>
      </c>
      <c r="D22" s="122" t="s">
        <v>118</v>
      </c>
      <c r="E22" s="122"/>
      <c r="F22" s="125">
        <v>5500</v>
      </c>
      <c r="G22" s="55">
        <v>0</v>
      </c>
      <c r="H22" s="55">
        <v>1614.35</v>
      </c>
      <c r="I22" s="55">
        <v>1128.08</v>
      </c>
      <c r="J22" s="55">
        <v>516.52</v>
      </c>
      <c r="K22" s="90">
        <v>0</v>
      </c>
      <c r="L22" s="55">
        <f>Table13[[#This Row],[Total direct expenditure Q1
(GBP)]]*Table13[[#This Row],[Overhead %]]</f>
        <v>0</v>
      </c>
      <c r="M22" s="55">
        <f>+Table13[[#This Row],[Total direct expenditure Q2
(GBP)2]]*Table13[[#This Row],[Overhead %]]</f>
        <v>0</v>
      </c>
      <c r="N22" s="55">
        <f>+Table13[[#This Row],[Total direct expenditure Q3
(GBP)3]]*Table13[[#This Row],[Overhead %]]</f>
        <v>0</v>
      </c>
      <c r="O22" s="55">
        <f>Table13[[#This Row],[Total direct expenditure Q1
(GBP)]]+Table13[[#This Row],[Overhead Q1 total]]</f>
        <v>0</v>
      </c>
      <c r="P22" s="55">
        <f>+Table13[[#This Row],[Total direct expenditure Q2
(GBP)2]]+Table13[[#This Row],[Overhead Q2 total2]]</f>
        <v>1614.35</v>
      </c>
      <c r="Q22" s="59">
        <f>+Table13[[#This Row],[Total direct expenditure Q3
(GBP)3]]+Table13[[#This Row],[Overhead Q3 total3]]</f>
        <v>1128.08</v>
      </c>
      <c r="R22" s="59">
        <f>+Table13[[#This Row],[Total direct expenditure Q4
(GBP)4]]</f>
        <v>516.52</v>
      </c>
      <c r="S22" s="59">
        <f>+Table13[[#This Row],[Actual total expenditure (Dec2023) Q1]]+Table13[[#This Row],[Actual total expenditure (Mar2024) Q2]]+Table13[[#This Row],[Actual total expenditure (Jun2024) Q3]]+Table13[[#This Row],[Actual total expenditure (Jun2024) Q4]]</f>
        <v>3258.95</v>
      </c>
      <c r="T22" s="59">
        <f>+Table13[[#This Row],[Planned total expenditure
(GBP)]]-Table13[[#This Row],[Total expenditure Q1+Q2+Q3+Q4]]</f>
        <v>2241.0500000000002</v>
      </c>
      <c r="U22" s="167">
        <f t="shared" si="0"/>
        <v>0.59253636363636364</v>
      </c>
      <c r="V22" s="55"/>
      <c r="W22" s="55"/>
      <c r="X22" s="55"/>
      <c r="Y22" s="55"/>
    </row>
    <row r="23" spans="2:25" ht="15.75" customHeight="1">
      <c r="B23" s="56" t="s">
        <v>157</v>
      </c>
      <c r="C23" s="56" t="s">
        <v>158</v>
      </c>
      <c r="D23" s="122" t="s">
        <v>118</v>
      </c>
      <c r="E23" s="122"/>
      <c r="F23" s="125">
        <v>4800</v>
      </c>
      <c r="G23" s="55">
        <v>0</v>
      </c>
      <c r="H23" s="55">
        <v>1867.49</v>
      </c>
      <c r="I23" s="55">
        <v>1553.58</v>
      </c>
      <c r="J23" s="55">
        <v>1343.7</v>
      </c>
      <c r="K23" s="90">
        <v>0</v>
      </c>
      <c r="L23" s="55">
        <f>Table13[[#This Row],[Total direct expenditure Q1
(GBP)]]*Table13[[#This Row],[Overhead %]]</f>
        <v>0</v>
      </c>
      <c r="M23" s="55">
        <f>+Table13[[#This Row],[Total direct expenditure Q2
(GBP)2]]*Table13[[#This Row],[Overhead %]]</f>
        <v>0</v>
      </c>
      <c r="N23" s="55">
        <f>+Table13[[#This Row],[Total direct expenditure Q3
(GBP)3]]*Table13[[#This Row],[Overhead %]]</f>
        <v>0</v>
      </c>
      <c r="O23" s="55">
        <f>Table13[[#This Row],[Total direct expenditure Q1
(GBP)]]+Table13[[#This Row],[Overhead Q1 total]]</f>
        <v>0</v>
      </c>
      <c r="P23" s="55">
        <f>+Table13[[#This Row],[Total direct expenditure Q2
(GBP)2]]+Table13[[#This Row],[Overhead Q2 total2]]</f>
        <v>1867.49</v>
      </c>
      <c r="Q23" s="59">
        <f>+Table13[[#This Row],[Total direct expenditure Q3
(GBP)3]]+Table13[[#This Row],[Overhead Q3 total3]]</f>
        <v>1553.58</v>
      </c>
      <c r="R23" s="59">
        <f>+Table13[[#This Row],[Total direct expenditure Q4
(GBP)4]]</f>
        <v>1343.7</v>
      </c>
      <c r="S23" s="59">
        <f>+Table13[[#This Row],[Actual total expenditure (Dec2023) Q1]]+Table13[[#This Row],[Actual total expenditure (Mar2024) Q2]]+Table13[[#This Row],[Actual total expenditure (Jun2024) Q3]]+Table13[[#This Row],[Actual total expenditure (Jun2024) Q4]]</f>
        <v>4764.7699999999995</v>
      </c>
      <c r="T23" s="59">
        <f>+Table13[[#This Row],[Planned total expenditure
(GBP)]]-Table13[[#This Row],[Total expenditure Q1+Q2+Q3+Q4]]</f>
        <v>35.230000000000473</v>
      </c>
      <c r="U23" s="167">
        <f t="shared" si="0"/>
        <v>0.9926604166666666</v>
      </c>
      <c r="V23" s="55"/>
      <c r="W23" s="55"/>
      <c r="X23" s="55"/>
      <c r="Y23" s="55"/>
    </row>
    <row r="24" spans="2:25" ht="15.75" customHeight="1">
      <c r="B24" s="56" t="s">
        <v>159</v>
      </c>
      <c r="C24" s="56" t="s">
        <v>160</v>
      </c>
      <c r="D24" s="122" t="s">
        <v>161</v>
      </c>
      <c r="E24" s="122"/>
      <c r="F24" s="125">
        <v>5400</v>
      </c>
      <c r="G24" s="55">
        <v>0</v>
      </c>
      <c r="H24" s="55">
        <v>2045.66</v>
      </c>
      <c r="I24" s="55">
        <v>1629.48</v>
      </c>
      <c r="J24" s="55">
        <v>1439.66</v>
      </c>
      <c r="K24" s="90">
        <v>0</v>
      </c>
      <c r="L24" s="55">
        <f>Table13[[#This Row],[Total direct expenditure Q1
(GBP)]]*Table13[[#This Row],[Overhead %]]</f>
        <v>0</v>
      </c>
      <c r="M24" s="55">
        <f>+Table13[[#This Row],[Total direct expenditure Q2
(GBP)2]]*Table13[[#This Row],[Overhead %]]</f>
        <v>0</v>
      </c>
      <c r="N24" s="55">
        <f>+Table13[[#This Row],[Total direct expenditure Q3
(GBP)3]]*Table13[[#This Row],[Overhead %]]</f>
        <v>0</v>
      </c>
      <c r="O24" s="55">
        <f>Table13[[#This Row],[Total direct expenditure Q1
(GBP)]]+Table13[[#This Row],[Overhead Q1 total]]</f>
        <v>0</v>
      </c>
      <c r="P24" s="55">
        <f>+Table13[[#This Row],[Total direct expenditure Q2
(GBP)2]]+Table13[[#This Row],[Overhead Q2 total2]]</f>
        <v>2045.66</v>
      </c>
      <c r="Q24" s="59">
        <f>+Table13[[#This Row],[Total direct expenditure Q3
(GBP)3]]+Table13[[#This Row],[Overhead Q3 total3]]</f>
        <v>1629.48</v>
      </c>
      <c r="R24" s="59">
        <f>+Table13[[#This Row],[Total direct expenditure Q4
(GBP)4]]</f>
        <v>1439.66</v>
      </c>
      <c r="S24" s="59">
        <f>+Table13[[#This Row],[Actual total expenditure (Dec2023) Q1]]+Table13[[#This Row],[Actual total expenditure (Mar2024) Q2]]+Table13[[#This Row],[Actual total expenditure (Jun2024) Q3]]+Table13[[#This Row],[Actual total expenditure (Jun2024) Q4]]</f>
        <v>5114.8</v>
      </c>
      <c r="T24" s="59">
        <f>+Table13[[#This Row],[Planned total expenditure
(GBP)]]-Table13[[#This Row],[Total expenditure Q1+Q2+Q3+Q4]]</f>
        <v>285.19999999999982</v>
      </c>
      <c r="U24" s="167">
        <f t="shared" si="0"/>
        <v>0.94718518518518524</v>
      </c>
      <c r="V24" s="55"/>
      <c r="W24" s="55"/>
      <c r="X24" s="55"/>
      <c r="Y24" s="55"/>
    </row>
    <row r="25" spans="2:25" ht="15.75" customHeight="1">
      <c r="B25" s="58" t="s">
        <v>162</v>
      </c>
      <c r="C25" s="58" t="s">
        <v>163</v>
      </c>
      <c r="D25" s="122" t="s">
        <v>164</v>
      </c>
      <c r="E25" s="122" t="s">
        <v>165</v>
      </c>
      <c r="F25" s="126">
        <v>26100</v>
      </c>
      <c r="G25" s="59">
        <v>12039.465460382315</v>
      </c>
      <c r="H25" s="59">
        <v>3452.22</v>
      </c>
      <c r="I25" s="59">
        <v>3457.26</v>
      </c>
      <c r="J25" s="59">
        <v>7150.01</v>
      </c>
      <c r="K25" s="90">
        <v>0</v>
      </c>
      <c r="L25" s="59">
        <f>Table13[[#This Row],[Total direct expenditure Q1
(GBP)]]*Table13[[#This Row],[Overhead %]]</f>
        <v>0</v>
      </c>
      <c r="M25" s="59">
        <f>+Table13[[#This Row],[Total direct expenditure Q2
(GBP)2]]*Table13[[#This Row],[Overhead %]]</f>
        <v>0</v>
      </c>
      <c r="N25" s="59">
        <f>+Table13[[#This Row],[Total direct expenditure Q3
(GBP)3]]*Table13[[#This Row],[Overhead %]]</f>
        <v>0</v>
      </c>
      <c r="O25" s="59">
        <f>Table13[[#This Row],[Total direct expenditure Q1
(GBP)]]+Table13[[#This Row],[Overhead Q1 total]]</f>
        <v>12039.465460382315</v>
      </c>
      <c r="P25" s="59">
        <f>+Table13[[#This Row],[Total direct expenditure Q2
(GBP)2]]+Table13[[#This Row],[Overhead Q2 total2]]</f>
        <v>3452.22</v>
      </c>
      <c r="Q25" s="59">
        <f>+Table13[[#This Row],[Total direct expenditure Q3
(GBP)3]]+Table13[[#This Row],[Overhead Q3 total3]]</f>
        <v>3457.26</v>
      </c>
      <c r="R25" s="59">
        <f>+Table13[[#This Row],[Total direct expenditure Q4
(GBP)4]]</f>
        <v>7150.01</v>
      </c>
      <c r="S25" s="59">
        <f>+Table13[[#This Row],[Actual total expenditure (Dec2023) Q1]]+Table13[[#This Row],[Actual total expenditure (Mar2024) Q2]]+Table13[[#This Row],[Actual total expenditure (Jun2024) Q3]]+Table13[[#This Row],[Actual total expenditure (Jun2024) Q4]]</f>
        <v>26098.955460382313</v>
      </c>
      <c r="T25" s="59">
        <f>+Table13[[#This Row],[Planned total expenditure
(GBP)]]-Table13[[#This Row],[Total expenditure Q1+Q2+Q3+Q4]]</f>
        <v>1.0445396176874056</v>
      </c>
      <c r="U25" s="167">
        <f t="shared" si="0"/>
        <v>0.99995997932499281</v>
      </c>
      <c r="V25" s="144" t="s">
        <v>291</v>
      </c>
      <c r="W25" s="55" t="s">
        <v>292</v>
      </c>
      <c r="X25" s="156" t="s">
        <v>293</v>
      </c>
      <c r="Y25" s="156" t="s">
        <v>294</v>
      </c>
    </row>
    <row r="26" spans="2:25" ht="15.75" customHeight="1">
      <c r="B26" s="56" t="s">
        <v>166</v>
      </c>
      <c r="C26" s="56" t="s">
        <v>167</v>
      </c>
      <c r="D26" s="123" t="s">
        <v>164</v>
      </c>
      <c r="E26" s="122" t="s">
        <v>168</v>
      </c>
      <c r="F26" s="125">
        <v>17625</v>
      </c>
      <c r="G26" s="55">
        <v>10713.76</v>
      </c>
      <c r="H26" s="55">
        <v>2547.6</v>
      </c>
      <c r="I26" s="55">
        <v>2551.3200000000002</v>
      </c>
      <c r="J26" s="55">
        <v>1812.05</v>
      </c>
      <c r="K26" s="90">
        <v>0</v>
      </c>
      <c r="L26" s="55">
        <f>Table13[[#This Row],[Total direct expenditure Q1
(GBP)]]*Table13[[#This Row],[Overhead %]]</f>
        <v>0</v>
      </c>
      <c r="M26" s="55">
        <f>+Table13[[#This Row],[Total direct expenditure Q2
(GBP)2]]*Table13[[#This Row],[Overhead %]]</f>
        <v>0</v>
      </c>
      <c r="N26" s="55">
        <f>+Table13[[#This Row],[Total direct expenditure Q3
(GBP)3]]*Table13[[#This Row],[Overhead %]]</f>
        <v>0</v>
      </c>
      <c r="O26" s="55">
        <f>Table13[[#This Row],[Total direct expenditure Q1
(GBP)]]+Table13[[#This Row],[Overhead Q1 total]]</f>
        <v>10713.76</v>
      </c>
      <c r="P26" s="55">
        <f>+Table13[[#This Row],[Total direct expenditure Q2
(GBP)2]]+Table13[[#This Row],[Overhead Q2 total2]]</f>
        <v>2547.6</v>
      </c>
      <c r="Q26" s="59">
        <f>+Table13[[#This Row],[Total direct expenditure Q3
(GBP)3]]+Table13[[#This Row],[Overhead Q3 total3]]</f>
        <v>2551.3200000000002</v>
      </c>
      <c r="R26" s="59">
        <f>+Table13[[#This Row],[Total direct expenditure Q4
(GBP)4]]</f>
        <v>1812.05</v>
      </c>
      <c r="S26" s="59">
        <f>+Table13[[#This Row],[Actual total expenditure (Dec2023) Q1]]+Table13[[#This Row],[Actual total expenditure (Mar2024) Q2]]+Table13[[#This Row],[Actual total expenditure (Jun2024) Q3]]+Table13[[#This Row],[Actual total expenditure (Jun2024) Q4]]</f>
        <v>17624.73</v>
      </c>
      <c r="T26" s="59">
        <f>+Table13[[#This Row],[Planned total expenditure
(GBP)]]-Table13[[#This Row],[Total expenditure Q1+Q2+Q3+Q4]]</f>
        <v>0.27000000000043656</v>
      </c>
      <c r="U26" s="167">
        <f t="shared" si="0"/>
        <v>0.99998468085106385</v>
      </c>
      <c r="V26" s="144" t="s">
        <v>291</v>
      </c>
      <c r="W26" s="55" t="s">
        <v>292</v>
      </c>
      <c r="X26" s="156" t="s">
        <v>293</v>
      </c>
      <c r="Y26" s="156" t="s">
        <v>294</v>
      </c>
    </row>
    <row r="27" spans="2:25" ht="15.75" customHeight="1">
      <c r="B27" s="56" t="s">
        <v>169</v>
      </c>
      <c r="C27" s="56" t="s">
        <v>170</v>
      </c>
      <c r="D27" s="123" t="s">
        <v>164</v>
      </c>
      <c r="E27" s="122"/>
      <c r="F27" s="125">
        <v>15600</v>
      </c>
      <c r="G27" s="55">
        <v>8884.5877717787844</v>
      </c>
      <c r="H27" s="55">
        <v>2547.6</v>
      </c>
      <c r="I27" s="55">
        <v>2551.3200000000002</v>
      </c>
      <c r="J27" s="55">
        <v>1616.25</v>
      </c>
      <c r="K27" s="90">
        <v>0</v>
      </c>
      <c r="L27" s="55">
        <f>Table13[[#This Row],[Total direct expenditure Q1
(GBP)]]*Table13[[#This Row],[Overhead %]]</f>
        <v>0</v>
      </c>
      <c r="M27" s="55">
        <f>+Table13[[#This Row],[Total direct expenditure Q2
(GBP)2]]*Table13[[#This Row],[Overhead %]]</f>
        <v>0</v>
      </c>
      <c r="N27" s="55">
        <f>+Table13[[#This Row],[Total direct expenditure Q3
(GBP)3]]*Table13[[#This Row],[Overhead %]]</f>
        <v>0</v>
      </c>
      <c r="O27" s="55">
        <f>Table13[[#This Row],[Total direct expenditure Q1
(GBP)]]+Table13[[#This Row],[Overhead Q1 total]]</f>
        <v>8884.5877717787844</v>
      </c>
      <c r="P27" s="55">
        <f>+Table13[[#This Row],[Total direct expenditure Q2
(GBP)2]]+Table13[[#This Row],[Overhead Q2 total2]]</f>
        <v>2547.6</v>
      </c>
      <c r="Q27" s="59">
        <f>+Table13[[#This Row],[Total direct expenditure Q3
(GBP)3]]+Table13[[#This Row],[Overhead Q3 total3]]</f>
        <v>2551.3200000000002</v>
      </c>
      <c r="R27" s="59">
        <f>+Table13[[#This Row],[Total direct expenditure Q4
(GBP)4]]</f>
        <v>1616.25</v>
      </c>
      <c r="S27" s="59">
        <f>+Table13[[#This Row],[Actual total expenditure (Dec2023) Q1]]+Table13[[#This Row],[Actual total expenditure (Mar2024) Q2]]+Table13[[#This Row],[Actual total expenditure (Jun2024) Q3]]+Table13[[#This Row],[Actual total expenditure (Jun2024) Q4]]</f>
        <v>15599.757771778784</v>
      </c>
      <c r="T27" s="59">
        <f>+Table13[[#This Row],[Planned total expenditure
(GBP)]]-Table13[[#This Row],[Total expenditure Q1+Q2+Q3+Q4]]</f>
        <v>0.2422282212155551</v>
      </c>
      <c r="U27" s="167">
        <f t="shared" si="0"/>
        <v>0.99998447254992207</v>
      </c>
      <c r="V27" s="55"/>
      <c r="W27" s="55"/>
      <c r="X27" s="55"/>
      <c r="Y27" s="55"/>
    </row>
    <row r="28" spans="2:25" ht="15.75" customHeight="1">
      <c r="B28" s="56" t="s">
        <v>171</v>
      </c>
      <c r="C28" s="56" t="s">
        <v>172</v>
      </c>
      <c r="D28" s="123" t="s">
        <v>164</v>
      </c>
      <c r="E28" s="122"/>
      <c r="F28" s="125">
        <v>15600</v>
      </c>
      <c r="G28" s="55">
        <v>6949.7219903691821</v>
      </c>
      <c r="H28" s="55">
        <v>1992.75</v>
      </c>
      <c r="I28" s="55">
        <v>1995.66</v>
      </c>
      <c r="J28" s="55">
        <v>4661.1899999999996</v>
      </c>
      <c r="K28" s="90">
        <v>0</v>
      </c>
      <c r="L28" s="55">
        <f>Table13[[#This Row],[Total direct expenditure Q1
(GBP)]]*Table13[[#This Row],[Overhead %]]</f>
        <v>0</v>
      </c>
      <c r="M28" s="55">
        <f>+Table13[[#This Row],[Total direct expenditure Q2
(GBP)2]]*Table13[[#This Row],[Overhead %]]</f>
        <v>0</v>
      </c>
      <c r="N28" s="55">
        <f>+Table13[[#This Row],[Total direct expenditure Q3
(GBP)3]]*Table13[[#This Row],[Overhead %]]</f>
        <v>0</v>
      </c>
      <c r="O28" s="55">
        <f>Table13[[#This Row],[Total direct expenditure Q1
(GBP)]]+Table13[[#This Row],[Overhead Q1 total]]</f>
        <v>6949.7219903691821</v>
      </c>
      <c r="P28" s="55">
        <f>+Table13[[#This Row],[Total direct expenditure Q2
(GBP)2]]+Table13[[#This Row],[Overhead Q2 total2]]</f>
        <v>1992.75</v>
      </c>
      <c r="Q28" s="59">
        <f>+Table13[[#This Row],[Total direct expenditure Q3
(GBP)3]]+Table13[[#This Row],[Overhead Q3 total3]]</f>
        <v>1995.66</v>
      </c>
      <c r="R28" s="59">
        <f>+Table13[[#This Row],[Total direct expenditure Q4
(GBP)4]]</f>
        <v>4661.1899999999996</v>
      </c>
      <c r="S28" s="59">
        <f>+Table13[[#This Row],[Actual total expenditure (Dec2023) Q1]]+Table13[[#This Row],[Actual total expenditure (Mar2024) Q2]]+Table13[[#This Row],[Actual total expenditure (Jun2024) Q3]]+Table13[[#This Row],[Actual total expenditure (Jun2024) Q4]]</f>
        <v>15599.321990369182</v>
      </c>
      <c r="T28" s="59">
        <f>+Table13[[#This Row],[Planned total expenditure
(GBP)]]-Table13[[#This Row],[Total expenditure Q1+Q2+Q3+Q4]]</f>
        <v>0.67800963081754162</v>
      </c>
      <c r="U28" s="167">
        <f t="shared" si="0"/>
        <v>0.99995653784417837</v>
      </c>
      <c r="V28" s="55"/>
      <c r="W28" s="55"/>
      <c r="X28" s="55"/>
      <c r="Y28" s="55"/>
    </row>
    <row r="29" spans="2:25" ht="15.75" customHeight="1">
      <c r="B29" s="58" t="s">
        <v>173</v>
      </c>
      <c r="C29" s="58" t="s">
        <v>174</v>
      </c>
      <c r="D29" s="123" t="s">
        <v>164</v>
      </c>
      <c r="E29" s="123"/>
      <c r="F29" s="126">
        <v>15600</v>
      </c>
      <c r="G29" s="59">
        <v>6393.7263096454117</v>
      </c>
      <c r="H29" s="59">
        <v>1833.32</v>
      </c>
      <c r="I29" s="59">
        <v>1835.99</v>
      </c>
      <c r="J29" s="59">
        <v>5536.09</v>
      </c>
      <c r="K29" s="90">
        <v>0</v>
      </c>
      <c r="L29" s="59">
        <f>Table13[[#This Row],[Total direct expenditure Q1
(GBP)]]*Table13[[#This Row],[Overhead %]]</f>
        <v>0</v>
      </c>
      <c r="M29" s="59">
        <f>+Table13[[#This Row],[Total direct expenditure Q2
(GBP)2]]*Table13[[#This Row],[Overhead %]]</f>
        <v>0</v>
      </c>
      <c r="N29" s="59">
        <f>+Table13[[#This Row],[Total direct expenditure Q3
(GBP)3]]*Table13[[#This Row],[Overhead %]]</f>
        <v>0</v>
      </c>
      <c r="O29" s="59">
        <f>Table13[[#This Row],[Total direct expenditure Q1
(GBP)]]+Table13[[#This Row],[Overhead Q1 total]]</f>
        <v>6393.7263096454117</v>
      </c>
      <c r="P29" s="59">
        <f>+Table13[[#This Row],[Total direct expenditure Q2
(GBP)2]]+Table13[[#This Row],[Overhead Q2 total2]]</f>
        <v>1833.32</v>
      </c>
      <c r="Q29" s="59">
        <f>+Table13[[#This Row],[Total direct expenditure Q3
(GBP)3]]+Table13[[#This Row],[Overhead Q3 total3]]</f>
        <v>1835.99</v>
      </c>
      <c r="R29" s="59">
        <f>+Table13[[#This Row],[Total direct expenditure Q4
(GBP)4]]</f>
        <v>5536.09</v>
      </c>
      <c r="S29" s="59">
        <f>+Table13[[#This Row],[Actual total expenditure (Dec2023) Q1]]+Table13[[#This Row],[Actual total expenditure (Mar2024) Q2]]+Table13[[#This Row],[Actual total expenditure (Jun2024) Q3]]+Table13[[#This Row],[Actual total expenditure (Jun2024) Q4]]</f>
        <v>15599.126309645411</v>
      </c>
      <c r="T29" s="59">
        <f>+Table13[[#This Row],[Planned total expenditure
(GBP)]]-Table13[[#This Row],[Total expenditure Q1+Q2+Q3+Q4]]</f>
        <v>0.87369035458868893</v>
      </c>
      <c r="U29" s="167">
        <f t="shared" si="0"/>
        <v>0.99994399420803914</v>
      </c>
      <c r="V29" s="55"/>
      <c r="W29" s="55"/>
      <c r="X29" s="55"/>
      <c r="Y29" s="55"/>
    </row>
    <row r="30" spans="2:25" ht="15.75" customHeight="1">
      <c r="B30" s="56" t="s">
        <v>175</v>
      </c>
      <c r="C30" s="56" t="s">
        <v>176</v>
      </c>
      <c r="D30" s="123" t="s">
        <v>164</v>
      </c>
      <c r="E30" s="122"/>
      <c r="F30" s="125">
        <v>15600</v>
      </c>
      <c r="G30" s="55">
        <v>6393.7263096454117</v>
      </c>
      <c r="H30" s="59">
        <v>1833.32</v>
      </c>
      <c r="I30" s="59">
        <v>1835.99</v>
      </c>
      <c r="J30" s="59">
        <v>5536.09</v>
      </c>
      <c r="K30" s="90">
        <v>0</v>
      </c>
      <c r="L30" s="55">
        <f>Table13[[#This Row],[Total direct expenditure Q1
(GBP)]]*Table13[[#This Row],[Overhead %]]</f>
        <v>0</v>
      </c>
      <c r="M30" s="55">
        <f>+Table13[[#This Row],[Total direct expenditure Q2
(GBP)2]]*Table13[[#This Row],[Overhead %]]</f>
        <v>0</v>
      </c>
      <c r="N30" s="55">
        <f>+Table13[[#This Row],[Total direct expenditure Q3
(GBP)3]]*Table13[[#This Row],[Overhead %]]</f>
        <v>0</v>
      </c>
      <c r="O30" s="55">
        <f>Table13[[#This Row],[Total direct expenditure Q1
(GBP)]]+Table13[[#This Row],[Overhead Q1 total]]</f>
        <v>6393.7263096454117</v>
      </c>
      <c r="P30" s="55">
        <f>+Table13[[#This Row],[Total direct expenditure Q2
(GBP)2]]+Table13[[#This Row],[Overhead Q2 total2]]</f>
        <v>1833.32</v>
      </c>
      <c r="Q30" s="59">
        <f>+Table13[[#This Row],[Total direct expenditure Q3
(GBP)3]]+Table13[[#This Row],[Overhead Q3 total3]]</f>
        <v>1835.99</v>
      </c>
      <c r="R30" s="59">
        <f>+Table13[[#This Row],[Total direct expenditure Q4
(GBP)4]]</f>
        <v>5536.09</v>
      </c>
      <c r="S30" s="59">
        <f>+Table13[[#This Row],[Actual total expenditure (Dec2023) Q1]]+Table13[[#This Row],[Actual total expenditure (Mar2024) Q2]]+Table13[[#This Row],[Actual total expenditure (Jun2024) Q3]]+Table13[[#This Row],[Actual total expenditure (Jun2024) Q4]]</f>
        <v>15599.126309645411</v>
      </c>
      <c r="T30" s="59">
        <f>+Table13[[#This Row],[Planned total expenditure
(GBP)]]-Table13[[#This Row],[Total expenditure Q1+Q2+Q3+Q4]]</f>
        <v>0.87369035458868893</v>
      </c>
      <c r="U30" s="167">
        <f t="shared" si="0"/>
        <v>0.99994399420803914</v>
      </c>
      <c r="V30" s="55"/>
      <c r="W30" s="55"/>
      <c r="X30" s="55"/>
      <c r="Y30" s="55"/>
    </row>
    <row r="31" spans="2:25" ht="15.75" customHeight="1">
      <c r="B31" s="56" t="s">
        <v>177</v>
      </c>
      <c r="C31" s="56" t="s">
        <v>142</v>
      </c>
      <c r="D31" s="155" t="s">
        <v>118</v>
      </c>
      <c r="E31" s="122"/>
      <c r="F31" s="125">
        <v>4250</v>
      </c>
      <c r="G31" s="55">
        <v>0</v>
      </c>
      <c r="H31" s="55">
        <v>3172.01</v>
      </c>
      <c r="I31" s="55">
        <v>793.82</v>
      </c>
      <c r="J31" s="55">
        <v>41.32</v>
      </c>
      <c r="K31" s="90">
        <v>0</v>
      </c>
      <c r="L31" s="55">
        <f>Table13[[#This Row],[Total direct expenditure Q1
(GBP)]]*Table13[[#This Row],[Overhead %]]</f>
        <v>0</v>
      </c>
      <c r="M31" s="55">
        <f>+Table13[[#This Row],[Total direct expenditure Q2
(GBP)2]]*Table13[[#This Row],[Overhead %]]</f>
        <v>0</v>
      </c>
      <c r="N31" s="55">
        <f>+Table13[[#This Row],[Total direct expenditure Q3
(GBP)3]]*Table13[[#This Row],[Overhead %]]</f>
        <v>0</v>
      </c>
      <c r="O31" s="55">
        <f>Table13[[#This Row],[Total direct expenditure Q1
(GBP)]]+Table13[[#This Row],[Overhead Q1 total]]</f>
        <v>0</v>
      </c>
      <c r="P31" s="55">
        <f>+Table13[[#This Row],[Total direct expenditure Q2
(GBP)2]]+Table13[[#This Row],[Overhead Q2 total2]]</f>
        <v>3172.01</v>
      </c>
      <c r="Q31" s="59">
        <f>+Table13[[#This Row],[Total direct expenditure Q3
(GBP)3]]+Table13[[#This Row],[Overhead Q3 total3]]</f>
        <v>793.82</v>
      </c>
      <c r="R31" s="59">
        <f>+Table13[[#This Row],[Total direct expenditure Q4
(GBP)4]]</f>
        <v>41.32</v>
      </c>
      <c r="S31" s="59">
        <f>+Table13[[#This Row],[Actual total expenditure (Dec2023) Q1]]+Table13[[#This Row],[Actual total expenditure (Mar2024) Q2]]+Table13[[#This Row],[Actual total expenditure (Jun2024) Q3]]+Table13[[#This Row],[Actual total expenditure (Jun2024) Q4]]</f>
        <v>4007.1500000000005</v>
      </c>
      <c r="T31" s="59">
        <f>+Table13[[#This Row],[Planned total expenditure
(GBP)]]-Table13[[#This Row],[Total expenditure Q1+Q2+Q3+Q4]]</f>
        <v>242.84999999999945</v>
      </c>
      <c r="U31" s="168">
        <f t="shared" si="0"/>
        <v>0.94285882352941186</v>
      </c>
      <c r="V31" s="152" t="s">
        <v>287</v>
      </c>
      <c r="W31" s="153" t="s">
        <v>295</v>
      </c>
      <c r="X31" s="157" t="s">
        <v>296</v>
      </c>
      <c r="Y31" s="157" t="s">
        <v>297</v>
      </c>
    </row>
    <row r="32" spans="2:25" ht="15.75" customHeight="1">
      <c r="B32" s="56" t="s">
        <v>178</v>
      </c>
      <c r="C32" s="56" t="s">
        <v>179</v>
      </c>
      <c r="D32" s="122" t="s">
        <v>132</v>
      </c>
      <c r="E32" s="122"/>
      <c r="F32" s="125">
        <v>2250</v>
      </c>
      <c r="G32" s="55">
        <v>0</v>
      </c>
      <c r="H32" s="55">
        <v>0</v>
      </c>
      <c r="I32" s="55">
        <v>1144.02</v>
      </c>
      <c r="J32" s="55">
        <v>1105.98</v>
      </c>
      <c r="K32" s="90">
        <v>0</v>
      </c>
      <c r="L32" s="55">
        <f>Table13[[#This Row],[Total direct expenditure Q1
(GBP)]]*Table13[[#This Row],[Overhead %]]</f>
        <v>0</v>
      </c>
      <c r="M32" s="55">
        <f>+Table13[[#This Row],[Total direct expenditure Q2
(GBP)2]]*Table13[[#This Row],[Overhead %]]</f>
        <v>0</v>
      </c>
      <c r="N32" s="55">
        <f>+Table13[[#This Row],[Total direct expenditure Q3
(GBP)3]]*Table13[[#This Row],[Overhead %]]</f>
        <v>0</v>
      </c>
      <c r="O32" s="55">
        <f>Table13[[#This Row],[Total direct expenditure Q1
(GBP)]]+Table13[[#This Row],[Overhead Q1 total]]</f>
        <v>0</v>
      </c>
      <c r="P32" s="55">
        <f>+Table13[[#This Row],[Total direct expenditure Q2
(GBP)2]]+Table13[[#This Row],[Overhead Q2 total2]]</f>
        <v>0</v>
      </c>
      <c r="Q32" s="59">
        <f>+Table13[[#This Row],[Total direct expenditure Q3
(GBP)3]]+Table13[[#This Row],[Overhead Q3 total3]]</f>
        <v>1144.02</v>
      </c>
      <c r="R32" s="59">
        <f>+Table13[[#This Row],[Total direct expenditure Q4
(GBP)4]]</f>
        <v>1105.98</v>
      </c>
      <c r="S32" s="59">
        <f>+Table13[[#This Row],[Actual total expenditure (Dec2023) Q1]]+Table13[[#This Row],[Actual total expenditure (Mar2024) Q2]]+Table13[[#This Row],[Actual total expenditure (Jun2024) Q3]]+Table13[[#This Row],[Actual total expenditure (Jun2024) Q4]]</f>
        <v>2250</v>
      </c>
      <c r="T32" s="59">
        <f>+Table13[[#This Row],[Planned total expenditure
(GBP)]]-Table13[[#This Row],[Total expenditure Q1+Q2+Q3+Q4]]</f>
        <v>0</v>
      </c>
      <c r="U32" s="167">
        <f t="shared" si="0"/>
        <v>1</v>
      </c>
      <c r="V32" s="55"/>
      <c r="W32" s="55"/>
      <c r="X32" s="55"/>
      <c r="Y32" s="55"/>
    </row>
    <row r="33" spans="2:25" ht="15.75" customHeight="1">
      <c r="B33" s="56" t="s">
        <v>180</v>
      </c>
      <c r="C33" s="56" t="s">
        <v>181</v>
      </c>
      <c r="D33" s="122" t="s">
        <v>132</v>
      </c>
      <c r="E33" s="122"/>
      <c r="F33" s="125">
        <v>2250</v>
      </c>
      <c r="G33" s="55">
        <v>0</v>
      </c>
      <c r="H33" s="55">
        <v>0</v>
      </c>
      <c r="I33" s="55">
        <v>0</v>
      </c>
      <c r="J33" s="55">
        <v>2250</v>
      </c>
      <c r="K33" s="90">
        <v>0</v>
      </c>
      <c r="L33" s="55">
        <f>Table13[[#This Row],[Total direct expenditure Q1
(GBP)]]*Table13[[#This Row],[Overhead %]]</f>
        <v>0</v>
      </c>
      <c r="M33" s="55">
        <f>+Table13[[#This Row],[Total direct expenditure Q2
(GBP)2]]*Table13[[#This Row],[Overhead %]]</f>
        <v>0</v>
      </c>
      <c r="N33" s="55">
        <f>+Table13[[#This Row],[Total direct expenditure Q3
(GBP)3]]*Table13[[#This Row],[Overhead %]]</f>
        <v>0</v>
      </c>
      <c r="O33" s="55">
        <f>Table13[[#This Row],[Total direct expenditure Q1
(GBP)]]+Table13[[#This Row],[Overhead Q1 total]]</f>
        <v>0</v>
      </c>
      <c r="P33" s="55">
        <f>+Table13[[#This Row],[Total direct expenditure Q2
(GBP)2]]+Table13[[#This Row],[Overhead Q2 total2]]</f>
        <v>0</v>
      </c>
      <c r="Q33" s="59">
        <f>+Table13[[#This Row],[Total direct expenditure Q3
(GBP)3]]+Table13[[#This Row],[Overhead Q3 total3]]</f>
        <v>0</v>
      </c>
      <c r="R33" s="59">
        <f>+Table13[[#This Row],[Total direct expenditure Q4
(GBP)4]]</f>
        <v>2250</v>
      </c>
      <c r="S33" s="59">
        <f>+Table13[[#This Row],[Actual total expenditure (Dec2023) Q1]]+Table13[[#This Row],[Actual total expenditure (Mar2024) Q2]]+Table13[[#This Row],[Actual total expenditure (Jun2024) Q3]]+Table13[[#This Row],[Actual total expenditure (Jun2024) Q4]]</f>
        <v>2250</v>
      </c>
      <c r="T33" s="59">
        <f>+Table13[[#This Row],[Planned total expenditure
(GBP)]]-Table13[[#This Row],[Total expenditure Q1+Q2+Q3+Q4]]</f>
        <v>0</v>
      </c>
      <c r="U33" s="167">
        <f t="shared" si="0"/>
        <v>1</v>
      </c>
      <c r="V33" s="55"/>
      <c r="W33" s="55"/>
      <c r="X33" s="55"/>
      <c r="Y33" s="55"/>
    </row>
    <row r="34" spans="2:25" ht="15.75" customHeight="1">
      <c r="B34" s="58" t="s">
        <v>182</v>
      </c>
      <c r="C34" s="58" t="s">
        <v>183</v>
      </c>
      <c r="D34" s="122" t="s">
        <v>132</v>
      </c>
      <c r="E34" s="123"/>
      <c r="F34" s="126">
        <v>11700</v>
      </c>
      <c r="G34" s="59">
        <v>0</v>
      </c>
      <c r="H34" s="59">
        <v>0</v>
      </c>
      <c r="I34" s="59">
        <v>0</v>
      </c>
      <c r="J34" s="59">
        <v>11198.37</v>
      </c>
      <c r="K34" s="90">
        <v>0</v>
      </c>
      <c r="L34" s="59">
        <f>Table13[[#This Row],[Total direct expenditure Q1
(GBP)]]*Table13[[#This Row],[Overhead %]]</f>
        <v>0</v>
      </c>
      <c r="M34" s="59">
        <f>+Table13[[#This Row],[Total direct expenditure Q2
(GBP)2]]*Table13[[#This Row],[Overhead %]]</f>
        <v>0</v>
      </c>
      <c r="N34" s="59">
        <f>+Table13[[#This Row],[Total direct expenditure Q3
(GBP)3]]*Table13[[#This Row],[Overhead %]]</f>
        <v>0</v>
      </c>
      <c r="O34" s="59">
        <f>Table13[[#This Row],[Total direct expenditure Q1
(GBP)]]+Table13[[#This Row],[Overhead Q1 total]]</f>
        <v>0</v>
      </c>
      <c r="P34" s="59">
        <f>+Table13[[#This Row],[Total direct expenditure Q2
(GBP)2]]+Table13[[#This Row],[Overhead Q2 total2]]</f>
        <v>0</v>
      </c>
      <c r="Q34" s="59">
        <f>+Table13[[#This Row],[Total direct expenditure Q3
(GBP)3]]+Table13[[#This Row],[Overhead Q3 total3]]</f>
        <v>0</v>
      </c>
      <c r="R34" s="59">
        <f>+Table13[[#This Row],[Total direct expenditure Q4
(GBP)4]]</f>
        <v>11198.37</v>
      </c>
      <c r="S34" s="59">
        <f>+Table13[[#This Row],[Actual total expenditure (Dec2023) Q1]]+Table13[[#This Row],[Actual total expenditure (Mar2024) Q2]]+Table13[[#This Row],[Actual total expenditure (Jun2024) Q3]]+Table13[[#This Row],[Actual total expenditure (Jun2024) Q4]]</f>
        <v>11198.37</v>
      </c>
      <c r="T34" s="59">
        <f>+Table13[[#This Row],[Planned total expenditure
(GBP)]]-Table13[[#This Row],[Total expenditure Q1+Q2+Q3+Q4]]</f>
        <v>501.6299999999992</v>
      </c>
      <c r="U34" s="167">
        <f t="shared" si="0"/>
        <v>0.95712564102564113</v>
      </c>
      <c r="V34" s="55"/>
      <c r="W34" s="55"/>
      <c r="X34" s="55"/>
      <c r="Y34" s="55"/>
    </row>
    <row r="35" spans="2:25" ht="15.75" customHeight="1">
      <c r="B35" s="56" t="s">
        <v>184</v>
      </c>
      <c r="C35" s="56" t="s">
        <v>185</v>
      </c>
      <c r="D35" s="122" t="s">
        <v>118</v>
      </c>
      <c r="E35" s="122"/>
      <c r="F35" s="125">
        <v>2310</v>
      </c>
      <c r="G35" s="55">
        <v>0</v>
      </c>
      <c r="H35" s="55">
        <v>927.92</v>
      </c>
      <c r="I35" s="55">
        <v>0</v>
      </c>
      <c r="J35" s="55">
        <v>1378.84</v>
      </c>
      <c r="K35" s="90">
        <v>0</v>
      </c>
      <c r="L35" s="55">
        <f>Table13[[#This Row],[Total direct expenditure Q1
(GBP)]]*Table13[[#This Row],[Overhead %]]</f>
        <v>0</v>
      </c>
      <c r="M35" s="55">
        <f>+Table13[[#This Row],[Total direct expenditure Q2
(GBP)2]]*Table13[[#This Row],[Overhead %]]</f>
        <v>0</v>
      </c>
      <c r="N35" s="55">
        <f>+Table13[[#This Row],[Total direct expenditure Q3
(GBP)3]]*Table13[[#This Row],[Overhead %]]</f>
        <v>0</v>
      </c>
      <c r="O35" s="55">
        <f>Table13[[#This Row],[Total direct expenditure Q1
(GBP)]]+Table13[[#This Row],[Overhead Q1 total]]</f>
        <v>0</v>
      </c>
      <c r="P35" s="55">
        <f>+Table13[[#This Row],[Total direct expenditure Q2
(GBP)2]]+Table13[[#This Row],[Overhead Q2 total2]]</f>
        <v>927.92</v>
      </c>
      <c r="Q35" s="59">
        <f>+Table13[[#This Row],[Total direct expenditure Q3
(GBP)3]]+Table13[[#This Row],[Overhead Q3 total3]]</f>
        <v>0</v>
      </c>
      <c r="R35" s="59">
        <f>+Table13[[#This Row],[Total direct expenditure Q4
(GBP)4]]</f>
        <v>1378.84</v>
      </c>
      <c r="S35" s="59">
        <f>+Table13[[#This Row],[Actual total expenditure (Dec2023) Q1]]+Table13[[#This Row],[Actual total expenditure (Mar2024) Q2]]+Table13[[#This Row],[Actual total expenditure (Jun2024) Q3]]+Table13[[#This Row],[Actual total expenditure (Jun2024) Q4]]</f>
        <v>2306.7599999999998</v>
      </c>
      <c r="T35" s="59">
        <f>+Table13[[#This Row],[Planned total expenditure
(GBP)]]-Table13[[#This Row],[Total expenditure Q1+Q2+Q3+Q4]]</f>
        <v>3.2400000000002365</v>
      </c>
      <c r="U35" s="168">
        <f t="shared" si="0"/>
        <v>0.99859740259740248</v>
      </c>
      <c r="V35" s="55"/>
      <c r="W35" s="55"/>
      <c r="X35" s="55"/>
      <c r="Y35" s="55"/>
    </row>
    <row r="36" spans="2:25" ht="15.75" customHeight="1">
      <c r="B36" s="56" t="s">
        <v>186</v>
      </c>
      <c r="C36" s="56" t="s">
        <v>187</v>
      </c>
      <c r="D36" s="122" t="s">
        <v>118</v>
      </c>
      <c r="E36" s="122"/>
      <c r="F36" s="125">
        <v>920</v>
      </c>
      <c r="G36" s="55">
        <v>0</v>
      </c>
      <c r="H36" s="55">
        <v>493.06</v>
      </c>
      <c r="I36" s="55">
        <v>103.48</v>
      </c>
      <c r="J36" s="55">
        <v>293.24</v>
      </c>
      <c r="K36" s="90">
        <v>0</v>
      </c>
      <c r="L36" s="55">
        <f>Table13[[#This Row],[Total direct expenditure Q1
(GBP)]]*Table13[[#This Row],[Overhead %]]</f>
        <v>0</v>
      </c>
      <c r="M36" s="55">
        <f>+Table13[[#This Row],[Total direct expenditure Q2
(GBP)2]]*Table13[[#This Row],[Overhead %]]</f>
        <v>0</v>
      </c>
      <c r="N36" s="55">
        <f>+Table13[[#This Row],[Total direct expenditure Q3
(GBP)3]]*Table13[[#This Row],[Overhead %]]</f>
        <v>0</v>
      </c>
      <c r="O36" s="55">
        <f>Table13[[#This Row],[Total direct expenditure Q1
(GBP)]]+Table13[[#This Row],[Overhead Q1 total]]</f>
        <v>0</v>
      </c>
      <c r="P36" s="55">
        <f>+Table13[[#This Row],[Total direct expenditure Q2
(GBP)2]]+Table13[[#This Row],[Overhead Q2 total2]]</f>
        <v>493.06</v>
      </c>
      <c r="Q36" s="59">
        <f>+Table13[[#This Row],[Total direct expenditure Q3
(GBP)3]]+Table13[[#This Row],[Overhead Q3 total3]]</f>
        <v>103.48</v>
      </c>
      <c r="R36" s="59">
        <f>+Table13[[#This Row],[Total direct expenditure Q4
(GBP)4]]</f>
        <v>293.24</v>
      </c>
      <c r="S36" s="59">
        <f>+Table13[[#This Row],[Actual total expenditure (Dec2023) Q1]]+Table13[[#This Row],[Actual total expenditure (Mar2024) Q2]]+Table13[[#This Row],[Actual total expenditure (Jun2024) Q3]]+Table13[[#This Row],[Actual total expenditure (Jun2024) Q4]]</f>
        <v>889.78</v>
      </c>
      <c r="T36" s="59">
        <f>+Table13[[#This Row],[Planned total expenditure
(GBP)]]-Table13[[#This Row],[Total expenditure Q1+Q2+Q3+Q4]]</f>
        <v>30.220000000000027</v>
      </c>
      <c r="U36" s="167">
        <f t="shared" si="0"/>
        <v>0.96715217391304342</v>
      </c>
      <c r="V36" s="55"/>
      <c r="W36" s="55"/>
      <c r="X36" s="55"/>
      <c r="Y36" s="55"/>
    </row>
    <row r="37" spans="2:25" ht="15.75" customHeight="1">
      <c r="B37" s="56" t="s">
        <v>188</v>
      </c>
      <c r="C37" s="56" t="s">
        <v>189</v>
      </c>
      <c r="D37" s="122" t="s">
        <v>118</v>
      </c>
      <c r="E37" s="122"/>
      <c r="F37" s="125">
        <v>2800</v>
      </c>
      <c r="G37" s="55">
        <v>0</v>
      </c>
      <c r="H37" s="55">
        <v>577.79</v>
      </c>
      <c r="I37" s="55">
        <v>38.93</v>
      </c>
      <c r="J37" s="55">
        <v>2067</v>
      </c>
      <c r="K37" s="90">
        <v>0</v>
      </c>
      <c r="L37" s="55">
        <f>Table13[[#This Row],[Total direct expenditure Q1
(GBP)]]*Table13[[#This Row],[Overhead %]]</f>
        <v>0</v>
      </c>
      <c r="M37" s="55">
        <f>+Table13[[#This Row],[Total direct expenditure Q2
(GBP)2]]*Table13[[#This Row],[Overhead %]]</f>
        <v>0</v>
      </c>
      <c r="N37" s="55">
        <f>+Table13[[#This Row],[Total direct expenditure Q3
(GBP)3]]*Table13[[#This Row],[Overhead %]]</f>
        <v>0</v>
      </c>
      <c r="O37" s="55">
        <f>Table13[[#This Row],[Total direct expenditure Q1
(GBP)]]+Table13[[#This Row],[Overhead Q1 total]]</f>
        <v>0</v>
      </c>
      <c r="P37" s="55">
        <f>+Table13[[#This Row],[Total direct expenditure Q2
(GBP)2]]+Table13[[#This Row],[Overhead Q2 total2]]</f>
        <v>577.79</v>
      </c>
      <c r="Q37" s="59">
        <f>+Table13[[#This Row],[Total direct expenditure Q3
(GBP)3]]+Table13[[#This Row],[Overhead Q3 total3]]</f>
        <v>38.93</v>
      </c>
      <c r="R37" s="59">
        <f>+Table13[[#This Row],[Total direct expenditure Q4
(GBP)4]]</f>
        <v>2067</v>
      </c>
      <c r="S37" s="59">
        <f>+Table13[[#This Row],[Actual total expenditure (Dec2023) Q1]]+Table13[[#This Row],[Actual total expenditure (Mar2024) Q2]]+Table13[[#This Row],[Actual total expenditure (Jun2024) Q3]]+Table13[[#This Row],[Actual total expenditure (Jun2024) Q4]]</f>
        <v>2683.72</v>
      </c>
      <c r="T37" s="59">
        <f>+Table13[[#This Row],[Planned total expenditure
(GBP)]]-Table13[[#This Row],[Total expenditure Q1+Q2+Q3+Q4]]</f>
        <v>116.2800000000002</v>
      </c>
      <c r="U37" s="167">
        <f t="shared" si="0"/>
        <v>0.95847142857142853</v>
      </c>
      <c r="V37" s="55"/>
      <c r="W37" s="55"/>
      <c r="X37" s="55"/>
      <c r="Y37" s="55"/>
    </row>
    <row r="38" spans="2:25" ht="15.75" customHeight="1">
      <c r="B38" s="56" t="s">
        <v>190</v>
      </c>
      <c r="C38" s="56" t="s">
        <v>191</v>
      </c>
      <c r="D38" s="122" t="s">
        <v>132</v>
      </c>
      <c r="E38" s="122"/>
      <c r="F38" s="125">
        <v>7040</v>
      </c>
      <c r="G38" s="55">
        <v>0</v>
      </c>
      <c r="H38" s="55">
        <v>0</v>
      </c>
      <c r="I38" s="55">
        <v>0</v>
      </c>
      <c r="J38" s="55">
        <v>7040</v>
      </c>
      <c r="K38" s="90">
        <v>0</v>
      </c>
      <c r="L38" s="55">
        <f>Table13[[#This Row],[Total direct expenditure Q1
(GBP)]]*Table13[[#This Row],[Overhead %]]</f>
        <v>0</v>
      </c>
      <c r="M38" s="55">
        <f>+Table13[[#This Row],[Total direct expenditure Q2
(GBP)2]]*Table13[[#This Row],[Overhead %]]</f>
        <v>0</v>
      </c>
      <c r="N38" s="55">
        <f>+Table13[[#This Row],[Total direct expenditure Q3
(GBP)3]]*Table13[[#This Row],[Overhead %]]</f>
        <v>0</v>
      </c>
      <c r="O38" s="55">
        <f>Table13[[#This Row],[Total direct expenditure Q1
(GBP)]]+Table13[[#This Row],[Overhead Q1 total]]</f>
        <v>0</v>
      </c>
      <c r="P38" s="55">
        <f>+Table13[[#This Row],[Total direct expenditure Q2
(GBP)2]]+Table13[[#This Row],[Overhead Q2 total2]]</f>
        <v>0</v>
      </c>
      <c r="Q38" s="59">
        <f>+Table13[[#This Row],[Total direct expenditure Q3
(GBP)3]]+Table13[[#This Row],[Overhead Q3 total3]]</f>
        <v>0</v>
      </c>
      <c r="R38" s="59">
        <f>+Table13[[#This Row],[Total direct expenditure Q4
(GBP)4]]</f>
        <v>7040</v>
      </c>
      <c r="S38" s="59">
        <f>+Table13[[#This Row],[Actual total expenditure (Dec2023) Q1]]+Table13[[#This Row],[Actual total expenditure (Mar2024) Q2]]+Table13[[#This Row],[Actual total expenditure (Jun2024) Q3]]+Table13[[#This Row],[Actual total expenditure (Jun2024) Q4]]</f>
        <v>7040</v>
      </c>
      <c r="T38" s="59">
        <f>+Table13[[#This Row],[Planned total expenditure
(GBP)]]-Table13[[#This Row],[Total expenditure Q1+Q2+Q3+Q4]]</f>
        <v>0</v>
      </c>
      <c r="U38" s="167">
        <f t="shared" si="0"/>
        <v>1</v>
      </c>
      <c r="V38" s="55"/>
      <c r="W38" s="55"/>
      <c r="X38" s="55"/>
      <c r="Y38" s="55"/>
    </row>
    <row r="39" spans="2:25" ht="15.75" customHeight="1">
      <c r="B39" s="56" t="s">
        <v>192</v>
      </c>
      <c r="C39" s="56" t="s">
        <v>193</v>
      </c>
      <c r="D39" s="123" t="s">
        <v>164</v>
      </c>
      <c r="E39" s="122"/>
      <c r="F39" s="125">
        <v>12000</v>
      </c>
      <c r="G39" s="55">
        <v>8550.7120000000014</v>
      </c>
      <c r="H39" s="55">
        <v>2431.9499999999998</v>
      </c>
      <c r="I39" s="55">
        <v>0</v>
      </c>
      <c r="J39" s="55">
        <v>1017.34</v>
      </c>
      <c r="K39" s="90">
        <v>0</v>
      </c>
      <c r="L39" s="55">
        <f>Table13[[#This Row],[Total direct expenditure Q1
(GBP)]]*Table13[[#This Row],[Overhead %]]</f>
        <v>0</v>
      </c>
      <c r="M39" s="55">
        <f>+Table13[[#This Row],[Total direct expenditure Q2
(GBP)2]]*Table13[[#This Row],[Overhead %]]</f>
        <v>0</v>
      </c>
      <c r="N39" s="55">
        <f>+Table13[[#This Row],[Total direct expenditure Q3
(GBP)3]]*Table13[[#This Row],[Overhead %]]</f>
        <v>0</v>
      </c>
      <c r="O39" s="55">
        <f>Table13[[#This Row],[Total direct expenditure Q1
(GBP)]]+Table13[[#This Row],[Overhead Q1 total]]</f>
        <v>8550.7120000000014</v>
      </c>
      <c r="P39" s="55">
        <f>+Table13[[#This Row],[Total direct expenditure Q2
(GBP)2]]+Table13[[#This Row],[Overhead Q2 total2]]</f>
        <v>2431.9499999999998</v>
      </c>
      <c r="Q39" s="59">
        <f>+Table13[[#This Row],[Total direct expenditure Q3
(GBP)3]]+Table13[[#This Row],[Overhead Q3 total3]]</f>
        <v>0</v>
      </c>
      <c r="R39" s="59">
        <f>+Table13[[#This Row],[Total direct expenditure Q4
(GBP)4]]</f>
        <v>1017.34</v>
      </c>
      <c r="S39" s="59">
        <f>+Table13[[#This Row],[Actual total expenditure (Dec2023) Q1]]+Table13[[#This Row],[Actual total expenditure (Mar2024) Q2]]+Table13[[#This Row],[Actual total expenditure (Jun2024) Q3]]+Table13[[#This Row],[Actual total expenditure (Jun2024) Q4]]</f>
        <v>12000.002</v>
      </c>
      <c r="T39" s="59">
        <f>+Table13[[#This Row],[Planned total expenditure
(GBP)]]-Table13[[#This Row],[Total expenditure Q1+Q2+Q3+Q4]]</f>
        <v>-2.0000000004074536E-3</v>
      </c>
      <c r="U39" s="167">
        <f t="shared" si="0"/>
        <v>1.0000001666666667</v>
      </c>
      <c r="V39" s="55"/>
      <c r="W39" s="55"/>
      <c r="X39" s="55"/>
      <c r="Y39" s="55"/>
    </row>
    <row r="40" spans="2:25" ht="15.75" customHeight="1">
      <c r="B40" s="56" t="s">
        <v>194</v>
      </c>
      <c r="C40" s="56" t="s">
        <v>195</v>
      </c>
      <c r="D40" s="122" t="s">
        <v>132</v>
      </c>
      <c r="E40" s="122"/>
      <c r="F40" s="125">
        <v>7500</v>
      </c>
      <c r="G40" s="55">
        <v>0</v>
      </c>
      <c r="H40" s="55">
        <v>0</v>
      </c>
      <c r="I40" s="55">
        <v>0</v>
      </c>
      <c r="J40" s="55">
        <f>1586.9+5900</f>
        <v>7486.9</v>
      </c>
      <c r="K40" s="90">
        <v>0</v>
      </c>
      <c r="L40" s="55">
        <f>Table13[[#This Row],[Total direct expenditure Q1
(GBP)]]*Table13[[#This Row],[Overhead %]]</f>
        <v>0</v>
      </c>
      <c r="M40" s="55">
        <f>+Table13[[#This Row],[Total direct expenditure Q2
(GBP)2]]*Table13[[#This Row],[Overhead %]]</f>
        <v>0</v>
      </c>
      <c r="N40" s="55">
        <f>+Table13[[#This Row],[Total direct expenditure Q3
(GBP)3]]*Table13[[#This Row],[Overhead %]]</f>
        <v>0</v>
      </c>
      <c r="O40" s="55">
        <f>Table13[[#This Row],[Total direct expenditure Q1
(GBP)]]+Table13[[#This Row],[Overhead Q1 total]]</f>
        <v>0</v>
      </c>
      <c r="P40" s="55">
        <f>+Table13[[#This Row],[Total direct expenditure Q2
(GBP)2]]+Table13[[#This Row],[Overhead Q2 total2]]</f>
        <v>0</v>
      </c>
      <c r="Q40" s="59">
        <f>+Table13[[#This Row],[Total direct expenditure Q3
(GBP)3]]+Table13[[#This Row],[Overhead Q3 total3]]</f>
        <v>0</v>
      </c>
      <c r="R40" s="59">
        <f>+Table13[[#This Row],[Total direct expenditure Q4
(GBP)4]]</f>
        <v>7486.9</v>
      </c>
      <c r="S40" s="59">
        <f>+Table13[[#This Row],[Actual total expenditure (Dec2023) Q1]]+Table13[[#This Row],[Actual total expenditure (Mar2024) Q2]]+Table13[[#This Row],[Actual total expenditure (Jun2024) Q3]]+Table13[[#This Row],[Actual total expenditure (Jun2024) Q4]]</f>
        <v>7486.9</v>
      </c>
      <c r="T40" s="59">
        <f>+Table13[[#This Row],[Planned total expenditure
(GBP)]]-Table13[[#This Row],[Total expenditure Q1+Q2+Q3+Q4]]</f>
        <v>13.100000000000364</v>
      </c>
      <c r="U40" s="167">
        <f t="shared" si="0"/>
        <v>0.99825333333333333</v>
      </c>
      <c r="V40" s="55"/>
      <c r="W40" s="55"/>
      <c r="X40" s="55"/>
      <c r="Y40" s="55"/>
    </row>
    <row r="41" spans="2:25" ht="15.75" customHeight="1">
      <c r="B41" s="56" t="s">
        <v>196</v>
      </c>
      <c r="C41" s="56" t="s">
        <v>197</v>
      </c>
      <c r="D41" s="155" t="s">
        <v>118</v>
      </c>
      <c r="E41" s="122"/>
      <c r="F41" s="125">
        <v>4800</v>
      </c>
      <c r="G41" s="55">
        <v>2170.5520000000001</v>
      </c>
      <c r="H41" s="55">
        <v>2505.36</v>
      </c>
      <c r="I41" s="55">
        <v>0</v>
      </c>
      <c r="J41" s="55">
        <v>124.15</v>
      </c>
      <c r="K41" s="90">
        <v>0</v>
      </c>
      <c r="L41" s="55">
        <f>Table13[[#This Row],[Total direct expenditure Q1
(GBP)]]*Table13[[#This Row],[Overhead %]]</f>
        <v>0</v>
      </c>
      <c r="M41" s="55">
        <f>+Table13[[#This Row],[Total direct expenditure Q2
(GBP)2]]*Table13[[#This Row],[Overhead %]]</f>
        <v>0</v>
      </c>
      <c r="N41" s="55">
        <f>+Table13[[#This Row],[Total direct expenditure Q3
(GBP)3]]*Table13[[#This Row],[Overhead %]]</f>
        <v>0</v>
      </c>
      <c r="O41" s="55">
        <f>Table13[[#This Row],[Total direct expenditure Q1
(GBP)]]+Table13[[#This Row],[Overhead Q1 total]]</f>
        <v>2170.5520000000001</v>
      </c>
      <c r="P41" s="55">
        <f>+Table13[[#This Row],[Total direct expenditure Q2
(GBP)2]]+Table13[[#This Row],[Overhead Q2 total2]]</f>
        <v>2505.36</v>
      </c>
      <c r="Q41" s="59">
        <f>+Table13[[#This Row],[Total direct expenditure Q3
(GBP)3]]+Table13[[#This Row],[Overhead Q3 total3]]</f>
        <v>0</v>
      </c>
      <c r="R41" s="59">
        <f>+Table13[[#This Row],[Total direct expenditure Q4
(GBP)4]]</f>
        <v>124.15</v>
      </c>
      <c r="S41" s="59">
        <f>+Table13[[#This Row],[Actual total expenditure (Dec2023) Q1]]+Table13[[#This Row],[Actual total expenditure (Mar2024) Q2]]+Table13[[#This Row],[Actual total expenditure (Jun2024) Q3]]+Table13[[#This Row],[Actual total expenditure (Jun2024) Q4]]</f>
        <v>4800.0619999999999</v>
      </c>
      <c r="T41" s="59">
        <f>+Table13[[#This Row],[Planned total expenditure
(GBP)]]-Table13[[#This Row],[Total expenditure Q1+Q2+Q3+Q4]]</f>
        <v>-6.1999999999898137E-2</v>
      </c>
      <c r="U41" s="168">
        <f t="shared" si="0"/>
        <v>1.0000129166666667</v>
      </c>
      <c r="V41" s="152" t="s">
        <v>287</v>
      </c>
      <c r="W41" s="145" t="s">
        <v>298</v>
      </c>
      <c r="X41" s="146" t="s">
        <v>299</v>
      </c>
      <c r="Y41" s="146" t="s">
        <v>300</v>
      </c>
    </row>
    <row r="42" spans="2:25" ht="15.75" customHeight="1">
      <c r="B42" s="56" t="s">
        <v>198</v>
      </c>
      <c r="C42" s="56" t="s">
        <v>199</v>
      </c>
      <c r="D42" s="123" t="s">
        <v>164</v>
      </c>
      <c r="E42" s="122"/>
      <c r="F42" s="125">
        <v>9450</v>
      </c>
      <c r="G42" s="55">
        <v>1942.6480000000001</v>
      </c>
      <c r="H42" s="55">
        <v>599.94000000000005</v>
      </c>
      <c r="I42" s="55">
        <v>1922.45</v>
      </c>
      <c r="J42" s="55">
        <v>4899.2</v>
      </c>
      <c r="K42" s="90">
        <v>0</v>
      </c>
      <c r="L42" s="55">
        <f>Table13[[#This Row],[Total direct expenditure Q1
(GBP)]]*Table13[[#This Row],[Overhead %]]</f>
        <v>0</v>
      </c>
      <c r="M42" s="55">
        <f>+Table13[[#This Row],[Total direct expenditure Q2
(GBP)2]]*Table13[[#This Row],[Overhead %]]</f>
        <v>0</v>
      </c>
      <c r="N42" s="55">
        <f>+Table13[[#This Row],[Total direct expenditure Q3
(GBP)3]]*Table13[[#This Row],[Overhead %]]</f>
        <v>0</v>
      </c>
      <c r="O42" s="55">
        <f>Table13[[#This Row],[Total direct expenditure Q1
(GBP)]]+Table13[[#This Row],[Overhead Q1 total]]</f>
        <v>1942.6480000000001</v>
      </c>
      <c r="P42" s="55">
        <f>+Table13[[#This Row],[Total direct expenditure Q2
(GBP)2]]+Table13[[#This Row],[Overhead Q2 total2]]</f>
        <v>599.94000000000005</v>
      </c>
      <c r="Q42" s="59">
        <f>+Table13[[#This Row],[Total direct expenditure Q3
(GBP)3]]+Table13[[#This Row],[Overhead Q3 total3]]</f>
        <v>1922.45</v>
      </c>
      <c r="R42" s="59">
        <f>+Table13[[#This Row],[Total direct expenditure Q4
(GBP)4]]</f>
        <v>4899.2</v>
      </c>
      <c r="S42" s="59">
        <f>+Table13[[#This Row],[Actual total expenditure (Dec2023) Q1]]+Table13[[#This Row],[Actual total expenditure (Mar2024) Q2]]+Table13[[#This Row],[Actual total expenditure (Jun2024) Q3]]+Table13[[#This Row],[Actual total expenditure (Jun2024) Q4]]</f>
        <v>9364.2380000000012</v>
      </c>
      <c r="T42" s="59">
        <f>+Table13[[#This Row],[Planned total expenditure
(GBP)]]-Table13[[#This Row],[Total expenditure Q1+Q2+Q3+Q4]]</f>
        <v>85.761999999998807</v>
      </c>
      <c r="U42" s="167">
        <f t="shared" si="0"/>
        <v>0.99092465608465619</v>
      </c>
      <c r="V42" s="55"/>
      <c r="W42" s="55"/>
      <c r="X42" s="55"/>
      <c r="Y42" s="55"/>
    </row>
    <row r="43" spans="2:25" ht="15.75" customHeight="1">
      <c r="B43" s="56" t="s">
        <v>200</v>
      </c>
      <c r="C43" s="56" t="s">
        <v>142</v>
      </c>
      <c r="D43" s="122" t="s">
        <v>132</v>
      </c>
      <c r="E43" s="122"/>
      <c r="F43" s="125">
        <v>2050</v>
      </c>
      <c r="G43" s="55">
        <v>0</v>
      </c>
      <c r="H43" s="55">
        <v>0</v>
      </c>
      <c r="I43" s="55">
        <v>1628.48</v>
      </c>
      <c r="J43" s="55">
        <v>399.76</v>
      </c>
      <c r="K43" s="90">
        <v>0</v>
      </c>
      <c r="L43" s="55">
        <f>Table13[[#This Row],[Total direct expenditure Q1
(GBP)]]*Table13[[#This Row],[Overhead %]]</f>
        <v>0</v>
      </c>
      <c r="M43" s="55">
        <f>+Table13[[#This Row],[Total direct expenditure Q2
(GBP)2]]*Table13[[#This Row],[Overhead %]]</f>
        <v>0</v>
      </c>
      <c r="N43" s="55">
        <f>+Table13[[#This Row],[Total direct expenditure Q3
(GBP)3]]*Table13[[#This Row],[Overhead %]]</f>
        <v>0</v>
      </c>
      <c r="O43" s="55">
        <f>Table13[[#This Row],[Total direct expenditure Q1
(GBP)]]+Table13[[#This Row],[Overhead Q1 total]]</f>
        <v>0</v>
      </c>
      <c r="P43" s="55">
        <f>+Table13[[#This Row],[Total direct expenditure Q2
(GBP)2]]+Table13[[#This Row],[Overhead Q2 total2]]</f>
        <v>0</v>
      </c>
      <c r="Q43" s="59">
        <f>+Table13[[#This Row],[Total direct expenditure Q3
(GBP)3]]+Table13[[#This Row],[Overhead Q3 total3]]</f>
        <v>1628.48</v>
      </c>
      <c r="R43" s="59">
        <f>+Table13[[#This Row],[Total direct expenditure Q4
(GBP)4]]</f>
        <v>399.76</v>
      </c>
      <c r="S43" s="59">
        <f>+Table13[[#This Row],[Actual total expenditure (Dec2023) Q1]]+Table13[[#This Row],[Actual total expenditure (Mar2024) Q2]]+Table13[[#This Row],[Actual total expenditure (Jun2024) Q3]]+Table13[[#This Row],[Actual total expenditure (Jun2024) Q4]]</f>
        <v>2028.24</v>
      </c>
      <c r="T43" s="59">
        <f>+Table13[[#This Row],[Planned total expenditure
(GBP)]]-Table13[[#This Row],[Total expenditure Q1+Q2+Q3+Q4]]</f>
        <v>21.759999999999991</v>
      </c>
      <c r="U43" s="167">
        <f t="shared" si="0"/>
        <v>0.98938536585365855</v>
      </c>
      <c r="V43" s="55"/>
      <c r="W43" s="55"/>
      <c r="X43" s="55"/>
      <c r="Y43" s="55"/>
    </row>
    <row r="44" spans="2:25" ht="15.75" customHeight="1">
      <c r="B44" s="56" t="s">
        <v>201</v>
      </c>
      <c r="C44" s="56" t="s">
        <v>202</v>
      </c>
      <c r="D44" s="122" t="s">
        <v>132</v>
      </c>
      <c r="E44" s="122"/>
      <c r="F44" s="125">
        <v>1250</v>
      </c>
      <c r="G44" s="55">
        <v>0</v>
      </c>
      <c r="H44" s="55">
        <v>0</v>
      </c>
      <c r="I44" s="55">
        <v>0</v>
      </c>
      <c r="J44" s="55">
        <v>1250</v>
      </c>
      <c r="K44" s="90">
        <v>0</v>
      </c>
      <c r="L44" s="55">
        <f>Table13[[#This Row],[Total direct expenditure Q1
(GBP)]]*Table13[[#This Row],[Overhead %]]</f>
        <v>0</v>
      </c>
      <c r="M44" s="55">
        <f>+Table13[[#This Row],[Total direct expenditure Q2
(GBP)2]]*Table13[[#This Row],[Overhead %]]</f>
        <v>0</v>
      </c>
      <c r="N44" s="55">
        <f>+Table13[[#This Row],[Total direct expenditure Q3
(GBP)3]]*Table13[[#This Row],[Overhead %]]</f>
        <v>0</v>
      </c>
      <c r="O44" s="55">
        <f>Table13[[#This Row],[Total direct expenditure Q1
(GBP)]]+Table13[[#This Row],[Overhead Q1 total]]</f>
        <v>0</v>
      </c>
      <c r="P44" s="55">
        <f>+Table13[[#This Row],[Total direct expenditure Q2
(GBP)2]]+Table13[[#This Row],[Overhead Q2 total2]]</f>
        <v>0</v>
      </c>
      <c r="Q44" s="59">
        <f>+Table13[[#This Row],[Total direct expenditure Q3
(GBP)3]]+Table13[[#This Row],[Overhead Q3 total3]]</f>
        <v>0</v>
      </c>
      <c r="R44" s="59">
        <f>+Table13[[#This Row],[Total direct expenditure Q4
(GBP)4]]</f>
        <v>1250</v>
      </c>
      <c r="S44" s="59">
        <f>+Table13[[#This Row],[Actual total expenditure (Dec2023) Q1]]+Table13[[#This Row],[Actual total expenditure (Mar2024) Q2]]+Table13[[#This Row],[Actual total expenditure (Jun2024) Q3]]+Table13[[#This Row],[Actual total expenditure (Jun2024) Q4]]</f>
        <v>1250</v>
      </c>
      <c r="T44" s="59">
        <f>+Table13[[#This Row],[Planned total expenditure
(GBP)]]-Table13[[#This Row],[Total expenditure Q1+Q2+Q3+Q4]]</f>
        <v>0</v>
      </c>
      <c r="U44" s="167">
        <f t="shared" si="0"/>
        <v>1</v>
      </c>
      <c r="V44" s="55"/>
      <c r="W44" s="55"/>
      <c r="X44" s="55"/>
      <c r="Y44" s="55"/>
    </row>
    <row r="45" spans="2:25" ht="15.75" customHeight="1">
      <c r="B45" s="56" t="s">
        <v>203</v>
      </c>
      <c r="C45" s="56" t="s">
        <v>204</v>
      </c>
      <c r="D45" s="122" t="s">
        <v>132</v>
      </c>
      <c r="E45" s="122"/>
      <c r="F45" s="125">
        <v>2250</v>
      </c>
      <c r="G45" s="55">
        <v>0</v>
      </c>
      <c r="H45" s="55">
        <v>0</v>
      </c>
      <c r="I45" s="55">
        <v>0</v>
      </c>
      <c r="J45" s="55">
        <v>2274.6999999999998</v>
      </c>
      <c r="K45" s="90">
        <v>0</v>
      </c>
      <c r="L45" s="55">
        <f>Table13[[#This Row],[Total direct expenditure Q1
(GBP)]]*Table13[[#This Row],[Overhead %]]</f>
        <v>0</v>
      </c>
      <c r="M45" s="55">
        <f>+Table13[[#This Row],[Total direct expenditure Q2
(GBP)2]]*Table13[[#This Row],[Overhead %]]</f>
        <v>0</v>
      </c>
      <c r="N45" s="55">
        <f>+Table13[[#This Row],[Total direct expenditure Q3
(GBP)3]]*Table13[[#This Row],[Overhead %]]</f>
        <v>0</v>
      </c>
      <c r="O45" s="55">
        <f>Table13[[#This Row],[Total direct expenditure Q1
(GBP)]]+Table13[[#This Row],[Overhead Q1 total]]</f>
        <v>0</v>
      </c>
      <c r="P45" s="55">
        <f>+Table13[[#This Row],[Total direct expenditure Q2
(GBP)2]]+Table13[[#This Row],[Overhead Q2 total2]]</f>
        <v>0</v>
      </c>
      <c r="Q45" s="59">
        <f>+Table13[[#This Row],[Total direct expenditure Q3
(GBP)3]]+Table13[[#This Row],[Overhead Q3 total3]]</f>
        <v>0</v>
      </c>
      <c r="R45" s="59">
        <f>+Table13[[#This Row],[Total direct expenditure Q4
(GBP)4]]</f>
        <v>2274.6999999999998</v>
      </c>
      <c r="S45" s="59">
        <f>+Table13[[#This Row],[Actual total expenditure (Dec2023) Q1]]+Table13[[#This Row],[Actual total expenditure (Mar2024) Q2]]+Table13[[#This Row],[Actual total expenditure (Jun2024) Q3]]+Table13[[#This Row],[Actual total expenditure (Jun2024) Q4]]</f>
        <v>2274.6999999999998</v>
      </c>
      <c r="T45" s="59">
        <f>+Table13[[#This Row],[Planned total expenditure
(GBP)]]-Table13[[#This Row],[Total expenditure Q1+Q2+Q3+Q4]]</f>
        <v>-24.699999999999818</v>
      </c>
      <c r="U45" s="167">
        <f t="shared" si="0"/>
        <v>1.0109777777777778</v>
      </c>
      <c r="V45" s="55"/>
      <c r="W45" s="55"/>
      <c r="X45" s="55"/>
      <c r="Y45" s="55"/>
    </row>
    <row r="46" spans="2:25" ht="15.75" customHeight="1">
      <c r="B46" s="56" t="s">
        <v>205</v>
      </c>
      <c r="C46" s="56" t="s">
        <v>206</v>
      </c>
      <c r="D46" s="122" t="s">
        <v>118</v>
      </c>
      <c r="E46" s="122"/>
      <c r="F46" s="125">
        <v>9200</v>
      </c>
      <c r="G46" s="55">
        <v>0</v>
      </c>
      <c r="H46" s="55">
        <v>4575.9399999999996</v>
      </c>
      <c r="I46" s="55">
        <v>3052.16</v>
      </c>
      <c r="J46" s="55">
        <v>1526.46</v>
      </c>
      <c r="K46" s="90">
        <v>0</v>
      </c>
      <c r="L46" s="55">
        <f>Table13[[#This Row],[Total direct expenditure Q1
(GBP)]]*Table13[[#This Row],[Overhead %]]</f>
        <v>0</v>
      </c>
      <c r="M46" s="55">
        <f>+Table13[[#This Row],[Total direct expenditure Q2
(GBP)2]]*Table13[[#This Row],[Overhead %]]</f>
        <v>0</v>
      </c>
      <c r="N46" s="55">
        <f>+Table13[[#This Row],[Total direct expenditure Q3
(GBP)3]]*Table13[[#This Row],[Overhead %]]</f>
        <v>0</v>
      </c>
      <c r="O46" s="55">
        <f>Table13[[#This Row],[Total direct expenditure Q1
(GBP)]]+Table13[[#This Row],[Overhead Q1 total]]</f>
        <v>0</v>
      </c>
      <c r="P46" s="55">
        <f>+Table13[[#This Row],[Total direct expenditure Q2
(GBP)2]]+Table13[[#This Row],[Overhead Q2 total2]]</f>
        <v>4575.9399999999996</v>
      </c>
      <c r="Q46" s="59">
        <f>+Table13[[#This Row],[Total direct expenditure Q3
(GBP)3]]+Table13[[#This Row],[Overhead Q3 total3]]</f>
        <v>3052.16</v>
      </c>
      <c r="R46" s="59">
        <f>+Table13[[#This Row],[Total direct expenditure Q4
(GBP)4]]</f>
        <v>1526.46</v>
      </c>
      <c r="S46" s="59">
        <f>+Table13[[#This Row],[Actual total expenditure (Dec2023) Q1]]+Table13[[#This Row],[Actual total expenditure (Mar2024) Q2]]+Table13[[#This Row],[Actual total expenditure (Jun2024) Q3]]+Table13[[#This Row],[Actual total expenditure (Jun2024) Q4]]</f>
        <v>9154.56</v>
      </c>
      <c r="T46" s="59">
        <f>+Table13[[#This Row],[Planned total expenditure
(GBP)]]-Table13[[#This Row],[Total expenditure Q1+Q2+Q3+Q4]]</f>
        <v>45.440000000000509</v>
      </c>
      <c r="U46" s="167">
        <f>S46/F46</f>
        <v>0.99506086956521733</v>
      </c>
      <c r="V46" s="55"/>
      <c r="W46" s="55"/>
      <c r="X46" s="55"/>
      <c r="Y46" s="55"/>
    </row>
    <row r="47" spans="2:25" ht="15.75" customHeight="1">
      <c r="B47" s="117"/>
      <c r="C47" s="117"/>
      <c r="D47" s="124">
        <f>SUBTOTAL(109,Table13[Date completed])</f>
        <v>0</v>
      </c>
      <c r="E47" s="124"/>
      <c r="F47" s="118">
        <f>+SUM(Table13[Planned total expenditure
(GBP)])</f>
        <v>400253</v>
      </c>
      <c r="G47" s="118">
        <f>SUBTOTAL(9,Table13[Total direct expenditure Q1
(GBP)])</f>
        <v>64038.899841821112</v>
      </c>
      <c r="H47" s="118">
        <f>+SUM(Table13[Total direct expenditure Q2
(GBP)2])</f>
        <v>92469.37000000001</v>
      </c>
      <c r="I47" s="118">
        <f>+SUM(Table13[Total direct expenditure Q3
(GBP)3])</f>
        <v>40940.200000000012</v>
      </c>
      <c r="J47" s="118">
        <f>+SUM(Table13[Total direct expenditure Q4
(GBP)4])</f>
        <v>185923.39</v>
      </c>
      <c r="K47" s="127"/>
      <c r="L47" s="118">
        <f>SUBTOTAL(9,Table13[Overhead Q1 total])</f>
        <v>0</v>
      </c>
      <c r="M47" s="118">
        <f>+SUM(Table13[Overhead Q2 total2])</f>
        <v>0</v>
      </c>
      <c r="N47" s="118">
        <f>+SUM(Table13[Overhead Q3 total3])</f>
        <v>0</v>
      </c>
      <c r="O47" s="118">
        <f>SUBTOTAL(9,Table13[Actual total expenditure (Dec2023) Q1])</f>
        <v>64038.899841821112</v>
      </c>
      <c r="P47" s="118">
        <f>+SUM(Table13[Actual total expenditure (Mar2024) Q2])</f>
        <v>92469.37000000001</v>
      </c>
      <c r="Q47" s="118">
        <f>+SUM(Table13[Actual total expenditure (Jun2024) Q3])</f>
        <v>40940.200000000012</v>
      </c>
      <c r="R47" s="118">
        <f>+SUM(Table13[Actual total expenditure (Jun2024) Q4])</f>
        <v>185923.39</v>
      </c>
      <c r="S47" s="143">
        <f>+SUM(Table13[Total expenditure Q1+Q2+Q3+Q4])</f>
        <v>383371.85984182119</v>
      </c>
      <c r="T47" s="118">
        <f>SUM(Table13[Variance])</f>
        <v>16881.140158178903</v>
      </c>
      <c r="U47" s="154"/>
      <c r="V47" s="154"/>
      <c r="W47" s="148"/>
      <c r="X47" s="148"/>
      <c r="Y47" s="148"/>
    </row>
    <row r="49" spans="3:21">
      <c r="C49" s="320" t="s">
        <v>207</v>
      </c>
      <c r="D49" s="320"/>
      <c r="E49" s="320"/>
      <c r="F49" s="129">
        <f>+Table13[[#Totals],[Planned total expenditure
(GBP)]]*1%</f>
        <v>4002.53</v>
      </c>
      <c r="H49" s="128"/>
    </row>
    <row r="50" spans="3:21">
      <c r="C50" s="320" t="s">
        <v>208</v>
      </c>
      <c r="D50" s="320"/>
      <c r="E50" s="320"/>
      <c r="F50" s="129">
        <f>+Table13[[#Totals],[Planned total expenditure
(GBP)]]*8%</f>
        <v>32020.240000000002</v>
      </c>
      <c r="O50" s="166">
        <f>+Table13[[#Totals],[Actual total expenditure (Dec2023) Q1]]*8%</f>
        <v>5123.1119873456892</v>
      </c>
      <c r="P50" s="166">
        <f>+Table13[[#Totals],[Actual total expenditure (Mar2024) Q2]]*8%</f>
        <v>7397.5496000000012</v>
      </c>
      <c r="Q50" s="166">
        <f>+Table13[[#Totals],[Actual total expenditure (Jun2024) Q3]]*8%</f>
        <v>3275.2160000000008</v>
      </c>
      <c r="R50" s="166">
        <f>+Table13[[#Totals],[Actual total expenditure (Jun2024) Q4]]*8%</f>
        <v>14873.871200000001</v>
      </c>
      <c r="S50" s="166">
        <f>+Table13[[#Totals],[Total expenditure Q1+Q2+Q3+Q4]]*8%</f>
        <v>30669.748787345696</v>
      </c>
      <c r="U50" s="162"/>
    </row>
    <row r="51" spans="3:21">
      <c r="H51" s="128"/>
      <c r="I51" s="128"/>
      <c r="J51" s="128"/>
    </row>
    <row r="52" spans="3:21">
      <c r="E52" s="130" t="s">
        <v>210</v>
      </c>
      <c r="F52" s="131">
        <f>+Table13[[#Totals],[Planned total expenditure
(GBP)]]+F49+F50</f>
        <v>436275.77</v>
      </c>
    </row>
    <row r="53" spans="3:21">
      <c r="S53" s="162"/>
    </row>
    <row r="54" spans="3:21" ht="26.25">
      <c r="D54" s="322" t="s">
        <v>301</v>
      </c>
      <c r="E54" s="322"/>
      <c r="F54" s="322"/>
      <c r="G54" s="322"/>
      <c r="H54" s="322"/>
      <c r="I54" s="322"/>
      <c r="J54" s="322"/>
      <c r="K54" s="322"/>
      <c r="L54" s="322"/>
      <c r="M54" s="322"/>
      <c r="N54" s="322"/>
      <c r="O54" s="322"/>
      <c r="P54" s="322"/>
    </row>
    <row r="55" spans="3:21" ht="69.75">
      <c r="D55" s="169"/>
      <c r="E55" s="321" t="s">
        <v>302</v>
      </c>
      <c r="F55" s="321"/>
      <c r="G55" s="321"/>
      <c r="H55" s="321"/>
      <c r="I55" s="321"/>
      <c r="J55" s="321"/>
      <c r="K55" s="321"/>
      <c r="L55" s="321"/>
      <c r="M55" s="169"/>
      <c r="N55" s="169"/>
      <c r="O55" s="169" t="s">
        <v>303</v>
      </c>
      <c r="P55" s="169" t="s">
        <v>304</v>
      </c>
      <c r="R55" s="163"/>
    </row>
    <row r="56" spans="3:21" ht="26.25">
      <c r="D56" s="170" t="s">
        <v>305</v>
      </c>
      <c r="E56" s="170" t="s">
        <v>213</v>
      </c>
      <c r="F56" s="171">
        <f>+Table13[[#Totals],[Planned total expenditure
(GBP)]]</f>
        <v>400253</v>
      </c>
      <c r="G56" s="171"/>
      <c r="H56" s="171"/>
      <c r="I56" s="171"/>
      <c r="J56" s="171"/>
      <c r="K56" s="171"/>
      <c r="L56" s="171"/>
      <c r="M56" s="172"/>
      <c r="N56" s="172"/>
      <c r="O56" s="172">
        <v>519428.86</v>
      </c>
      <c r="P56" s="172">
        <v>479378.7</v>
      </c>
      <c r="R56" s="160"/>
    </row>
    <row r="57" spans="3:21" ht="26.25">
      <c r="D57" s="170" t="s">
        <v>306</v>
      </c>
      <c r="E57" s="173"/>
      <c r="F57" s="172">
        <f>+F56*8%</f>
        <v>32020.240000000002</v>
      </c>
      <c r="G57" s="172"/>
      <c r="H57" s="172"/>
      <c r="I57" s="172"/>
      <c r="J57" s="172"/>
      <c r="K57" s="172"/>
      <c r="L57" s="172"/>
      <c r="M57" s="172"/>
      <c r="N57" s="172"/>
      <c r="O57" s="172">
        <f>+O56*8%</f>
        <v>41554.308799999999</v>
      </c>
      <c r="P57" s="172">
        <f>+P56*8%</f>
        <v>38350.296000000002</v>
      </c>
      <c r="R57" s="160"/>
    </row>
    <row r="58" spans="3:21" ht="26.25">
      <c r="D58" s="170" t="s">
        <v>307</v>
      </c>
      <c r="E58" s="173"/>
      <c r="F58" s="172">
        <f>+F49</f>
        <v>4002.53</v>
      </c>
      <c r="G58" s="172"/>
      <c r="H58" s="172"/>
      <c r="I58" s="172"/>
      <c r="J58" s="172"/>
      <c r="K58" s="172"/>
      <c r="L58" s="172"/>
      <c r="M58" s="172"/>
      <c r="N58" s="172"/>
      <c r="O58" s="172">
        <v>5609.83</v>
      </c>
      <c r="P58" s="172">
        <v>5177.29</v>
      </c>
      <c r="R58" s="160"/>
    </row>
    <row r="59" spans="3:21" ht="26.25">
      <c r="D59" s="174" t="s">
        <v>38</v>
      </c>
      <c r="E59" s="175"/>
      <c r="F59" s="176">
        <f>+SUM(F56:F58)</f>
        <v>436275.77</v>
      </c>
      <c r="G59" s="177"/>
      <c r="H59" s="177"/>
      <c r="I59" s="177"/>
      <c r="J59" s="177"/>
      <c r="K59" s="177"/>
      <c r="L59" s="177"/>
      <c r="M59" s="177"/>
      <c r="N59" s="177"/>
      <c r="O59" s="177">
        <f>+SUM(O56:O58)</f>
        <v>566592.99879999994</v>
      </c>
      <c r="P59" s="177">
        <f>+SUM(P56:P58)</f>
        <v>522906.28600000002</v>
      </c>
      <c r="R59" s="161"/>
    </row>
    <row r="60" spans="3:21" ht="26.25">
      <c r="D60" s="178"/>
      <c r="E60" s="179"/>
      <c r="F60" s="179"/>
      <c r="G60" s="178"/>
      <c r="H60" s="178"/>
      <c r="I60" s="178"/>
      <c r="J60" s="178"/>
      <c r="K60" s="180"/>
      <c r="L60" s="178"/>
      <c r="M60" s="178"/>
      <c r="N60" s="178"/>
      <c r="O60" s="181"/>
      <c r="P60" s="181"/>
      <c r="R60" s="161"/>
    </row>
    <row r="61" spans="3:21" ht="26.25">
      <c r="D61" s="179"/>
      <c r="E61" s="179"/>
      <c r="F61" s="181"/>
      <c r="G61" s="178"/>
      <c r="H61" s="178"/>
      <c r="I61" s="178"/>
      <c r="J61" s="178"/>
      <c r="K61" s="180"/>
      <c r="L61" s="178"/>
      <c r="M61" s="178"/>
      <c r="N61" s="178"/>
      <c r="O61" s="181"/>
      <c r="P61" s="181"/>
      <c r="R61" s="161"/>
    </row>
    <row r="62" spans="3:21" ht="26.25">
      <c r="D62" s="179"/>
      <c r="E62" s="179"/>
      <c r="F62" s="181"/>
      <c r="G62" s="178"/>
      <c r="H62" s="178"/>
      <c r="I62" s="178"/>
      <c r="J62" s="178"/>
      <c r="K62" s="180"/>
      <c r="L62" s="178"/>
      <c r="M62" s="178"/>
      <c r="N62" s="178"/>
      <c r="O62" s="181"/>
      <c r="P62" s="181"/>
      <c r="R62" s="161"/>
    </row>
    <row r="63" spans="3:21">
      <c r="F63" s="161"/>
      <c r="G63" s="164"/>
      <c r="H63" s="164"/>
      <c r="I63" s="164"/>
      <c r="J63" s="164"/>
      <c r="K63" s="165"/>
      <c r="L63" s="164"/>
      <c r="M63" s="164"/>
      <c r="N63" s="164"/>
      <c r="O63" s="161"/>
      <c r="P63" s="161"/>
      <c r="R63" s="161"/>
    </row>
    <row r="64" spans="3:21">
      <c r="F64" s="161"/>
      <c r="G64" s="164"/>
      <c r="H64" s="164"/>
      <c r="I64" s="164"/>
      <c r="J64" s="164"/>
      <c r="K64" s="165"/>
      <c r="L64" s="164"/>
      <c r="M64" s="164"/>
      <c r="N64" s="164"/>
      <c r="O64" s="161"/>
      <c r="P64" s="161"/>
      <c r="R64" s="161"/>
    </row>
    <row r="65" spans="3:18">
      <c r="F65" s="161"/>
      <c r="G65" s="164"/>
      <c r="H65" s="164"/>
      <c r="I65" s="164"/>
      <c r="J65" s="164"/>
      <c r="K65" s="165"/>
      <c r="L65" s="164"/>
      <c r="M65" s="164"/>
      <c r="N65" s="164"/>
      <c r="O65" s="161"/>
      <c r="P65" s="161"/>
      <c r="R65" s="161"/>
    </row>
    <row r="66" spans="3:18">
      <c r="F66" s="161"/>
      <c r="G66" s="164"/>
      <c r="H66" s="164"/>
      <c r="I66" s="164"/>
      <c r="J66" s="164"/>
      <c r="K66" s="165"/>
      <c r="L66" s="164"/>
      <c r="M66" s="164"/>
      <c r="N66" s="164"/>
      <c r="O66" s="161"/>
      <c r="P66" s="161"/>
      <c r="R66" s="161"/>
    </row>
    <row r="67" spans="3:18">
      <c r="F67" s="161"/>
      <c r="G67" s="164"/>
      <c r="H67" s="164"/>
      <c r="I67" s="164"/>
      <c r="J67" s="164"/>
      <c r="K67" s="165"/>
      <c r="L67" s="164"/>
      <c r="M67" s="164"/>
      <c r="N67" s="164"/>
      <c r="O67" s="161"/>
      <c r="P67" s="161"/>
      <c r="R67" s="161"/>
    </row>
    <row r="68" spans="3:18">
      <c r="F68" s="161"/>
      <c r="G68" s="164"/>
      <c r="H68" s="164"/>
      <c r="I68" s="164"/>
      <c r="J68" s="164"/>
      <c r="K68" s="165"/>
      <c r="L68" s="164"/>
      <c r="M68" s="164"/>
      <c r="N68" s="164"/>
      <c r="O68" s="161"/>
      <c r="P68" s="161"/>
      <c r="R68" s="161"/>
    </row>
    <row r="69" spans="3:18">
      <c r="F69" s="161"/>
      <c r="G69" s="164"/>
      <c r="H69" s="164"/>
      <c r="I69" s="164"/>
      <c r="J69" s="164"/>
      <c r="K69" s="165"/>
      <c r="L69" s="164"/>
      <c r="M69" s="164"/>
      <c r="N69" s="164"/>
      <c r="O69" s="161"/>
      <c r="P69" s="161"/>
      <c r="R69" s="161"/>
    </row>
    <row r="70" spans="3:18">
      <c r="F70" s="161"/>
      <c r="G70" s="164"/>
      <c r="H70" s="164"/>
      <c r="I70" s="164"/>
      <c r="J70" s="164"/>
      <c r="K70" s="165"/>
      <c r="L70" s="164"/>
      <c r="M70" s="164"/>
      <c r="N70" s="164"/>
      <c r="O70" s="161"/>
      <c r="P70" s="161"/>
      <c r="R70" s="161"/>
    </row>
    <row r="71" spans="3:18">
      <c r="F71" s="161"/>
      <c r="G71" s="164"/>
      <c r="H71" s="164"/>
      <c r="I71" s="164"/>
      <c r="J71" s="164"/>
      <c r="K71" s="165"/>
      <c r="L71" s="164"/>
      <c r="M71" s="164"/>
      <c r="N71" s="164"/>
      <c r="O71" s="161"/>
      <c r="P71" s="161"/>
      <c r="R71" s="161"/>
    </row>
    <row r="72" spans="3:18">
      <c r="F72" s="161"/>
      <c r="G72" s="164"/>
      <c r="H72" s="164"/>
      <c r="I72" s="164"/>
      <c r="J72" s="164"/>
      <c r="K72" s="165"/>
      <c r="L72" s="164"/>
      <c r="M72" s="164"/>
      <c r="N72" s="164"/>
      <c r="O72" s="161"/>
      <c r="P72" s="161"/>
      <c r="R72" s="161"/>
    </row>
    <row r="73" spans="3:18">
      <c r="F73" s="161"/>
      <c r="G73" s="164"/>
      <c r="H73" s="164"/>
      <c r="I73" s="164"/>
      <c r="J73" s="164"/>
      <c r="K73" s="165"/>
      <c r="L73" s="164"/>
      <c r="M73" s="164"/>
      <c r="N73" s="164"/>
      <c r="O73" s="161"/>
      <c r="P73" s="161"/>
      <c r="R73" s="161"/>
    </row>
    <row r="74" spans="3:18">
      <c r="F74" s="161"/>
      <c r="G74" s="164"/>
      <c r="H74" s="164"/>
      <c r="I74" s="164"/>
      <c r="J74" s="164"/>
      <c r="K74" s="165"/>
      <c r="L74" s="164"/>
      <c r="M74" s="164"/>
      <c r="N74" s="164"/>
      <c r="O74" s="161"/>
      <c r="P74" s="161"/>
      <c r="R74" s="161"/>
    </row>
    <row r="75" spans="3:18">
      <c r="F75" s="161"/>
      <c r="G75" s="164"/>
      <c r="H75" s="164"/>
      <c r="I75" s="164"/>
      <c r="J75" s="164"/>
      <c r="K75" s="165"/>
      <c r="L75" s="164"/>
      <c r="M75" s="164"/>
      <c r="N75" s="164"/>
      <c r="O75" s="161"/>
      <c r="P75" s="161"/>
      <c r="R75" s="161"/>
    </row>
    <row r="76" spans="3:18">
      <c r="F76" s="161"/>
      <c r="G76" s="164"/>
      <c r="H76" s="164"/>
      <c r="I76" s="164"/>
      <c r="J76" s="164"/>
      <c r="K76" s="165"/>
      <c r="L76" s="164"/>
      <c r="M76" s="164"/>
      <c r="N76" s="164"/>
      <c r="O76" s="161"/>
      <c r="P76" s="161"/>
      <c r="R76" s="161"/>
    </row>
    <row r="77" spans="3:18">
      <c r="F77" s="161"/>
      <c r="G77" s="164"/>
      <c r="H77" s="164"/>
      <c r="I77" s="164"/>
      <c r="J77" s="164"/>
      <c r="K77" s="165"/>
      <c r="L77" s="164"/>
      <c r="M77" s="164"/>
      <c r="N77" s="164"/>
      <c r="O77" s="161"/>
      <c r="P77" s="161"/>
      <c r="R77" s="161"/>
    </row>
    <row r="78" spans="3:18">
      <c r="F78" s="161"/>
      <c r="G78" s="164"/>
      <c r="H78" s="164"/>
      <c r="I78" s="164"/>
      <c r="J78" s="164"/>
      <c r="K78" s="165"/>
      <c r="L78" s="164"/>
      <c r="M78" s="164"/>
      <c r="N78" s="164"/>
      <c r="O78" s="161"/>
      <c r="P78" s="161"/>
      <c r="R78" s="161"/>
    </row>
    <row r="79" spans="3:18">
      <c r="F79" s="161"/>
      <c r="G79" s="164"/>
      <c r="H79" s="164"/>
      <c r="I79" s="164"/>
      <c r="J79" s="164"/>
      <c r="K79" s="165"/>
      <c r="L79" s="164"/>
      <c r="M79" s="164"/>
      <c r="N79" s="164"/>
      <c r="O79" s="161"/>
      <c r="P79" s="161"/>
      <c r="R79" s="161"/>
    </row>
    <row r="80" spans="3:18">
      <c r="C80" s="158" t="s">
        <v>214</v>
      </c>
      <c r="F80" s="161"/>
      <c r="G80" s="164"/>
      <c r="H80" s="164"/>
      <c r="I80" s="164"/>
      <c r="J80" s="164"/>
      <c r="K80" s="165"/>
      <c r="L80" s="164"/>
      <c r="M80" s="164"/>
      <c r="N80" s="164"/>
      <c r="O80" s="161"/>
      <c r="P80" s="161"/>
      <c r="R80" s="161"/>
    </row>
    <row r="81" spans="3:18" ht="165">
      <c r="C81" s="159" t="s">
        <v>215</v>
      </c>
      <c r="F81" s="161"/>
      <c r="G81" s="164"/>
      <c r="H81" s="164"/>
      <c r="I81" s="164"/>
      <c r="J81" s="164"/>
      <c r="K81" s="165"/>
      <c r="L81" s="164"/>
      <c r="M81" s="164"/>
      <c r="N81" s="164"/>
      <c r="O81" s="161"/>
      <c r="P81" s="161"/>
      <c r="R81" s="161"/>
    </row>
  </sheetData>
  <mergeCells count="4">
    <mergeCell ref="C49:E49"/>
    <mergeCell ref="C50:E50"/>
    <mergeCell ref="E55:L55"/>
    <mergeCell ref="D54:P54"/>
  </mergeCells>
  <pageMargins left="0.7" right="0.7" top="0.75" bottom="0.75" header="0.3" footer="0.3"/>
  <pageSetup orientation="portrait"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1EF2-8C27-424F-8385-398B10794D87}">
  <dimension ref="B1:O51"/>
  <sheetViews>
    <sheetView zoomScale="160" zoomScaleNormal="160" workbookViewId="0">
      <selection activeCell="I5" sqref="I5:J9"/>
    </sheetView>
  </sheetViews>
  <sheetFormatPr baseColWidth="10" defaultColWidth="8.85546875" defaultRowHeight="14.25"/>
  <cols>
    <col min="1" max="1" width="8.85546875" style="1"/>
    <col min="2" max="2" width="17.140625" style="1" customWidth="1"/>
    <col min="3" max="3" width="22.42578125" style="1" customWidth="1"/>
    <col min="4" max="4" width="29.42578125" style="85" customWidth="1"/>
    <col min="5" max="5" width="19.42578125" style="1" customWidth="1"/>
    <col min="6" max="7" width="36.85546875" style="1" customWidth="1"/>
    <col min="8" max="8" width="76.140625" style="1" customWidth="1"/>
    <col min="9" max="10" width="16.5703125" style="1" customWidth="1"/>
    <col min="11" max="11" width="11.85546875" style="1" customWidth="1"/>
    <col min="12" max="16384" width="8.85546875" style="1"/>
  </cols>
  <sheetData>
    <row r="1" spans="2:15" ht="16.5" customHeight="1">
      <c r="B1" s="79"/>
      <c r="C1" s="79"/>
      <c r="D1" s="80"/>
      <c r="E1" s="79"/>
      <c r="F1" s="79"/>
      <c r="G1" s="81"/>
      <c r="H1" s="82"/>
      <c r="I1" s="79"/>
      <c r="J1" s="79"/>
      <c r="K1" s="323"/>
      <c r="L1" s="323"/>
      <c r="M1" s="323"/>
      <c r="N1" s="323"/>
      <c r="O1" s="323"/>
    </row>
    <row r="2" spans="2:15" s="2" customFormat="1" ht="25.5" customHeight="1">
      <c r="B2" s="66" t="s">
        <v>308</v>
      </c>
      <c r="C2" s="66"/>
      <c r="D2" s="66"/>
      <c r="E2" s="66"/>
      <c r="F2" s="66"/>
      <c r="G2" s="66"/>
      <c r="H2" s="66"/>
      <c r="I2" s="66"/>
      <c r="J2" s="66"/>
      <c r="K2" s="66"/>
      <c r="L2" s="66"/>
      <c r="M2" s="66"/>
      <c r="N2" s="66"/>
    </row>
    <row r="4" spans="2:15" ht="120.6" customHeight="1" thickBot="1">
      <c r="B4" s="114" t="s">
        <v>309</v>
      </c>
      <c r="C4" s="115" t="s">
        <v>310</v>
      </c>
      <c r="D4" s="113" t="s">
        <v>311</v>
      </c>
      <c r="E4" s="116" t="s">
        <v>312</v>
      </c>
      <c r="F4" s="115" t="s">
        <v>313</v>
      </c>
      <c r="G4" s="115" t="s">
        <v>314</v>
      </c>
      <c r="H4" s="115" t="s">
        <v>315</v>
      </c>
      <c r="I4" s="87" t="s">
        <v>316</v>
      </c>
      <c r="J4" s="87" t="s">
        <v>317</v>
      </c>
    </row>
    <row r="5" spans="2:15" ht="29.25" customHeight="1">
      <c r="B5" s="83"/>
      <c r="C5" s="83"/>
      <c r="D5" s="83"/>
      <c r="E5" s="83"/>
      <c r="F5" s="83"/>
      <c r="G5" s="83"/>
      <c r="H5" s="83"/>
      <c r="I5" s="83"/>
      <c r="J5" s="83"/>
    </row>
    <row r="6" spans="2:15" ht="29.25" customHeight="1">
      <c r="B6" s="83"/>
      <c r="C6" s="83"/>
      <c r="D6" s="83"/>
      <c r="E6" s="83"/>
      <c r="F6" s="83"/>
      <c r="G6" s="83"/>
      <c r="H6" s="83"/>
      <c r="I6" s="83"/>
      <c r="J6" s="83"/>
    </row>
    <row r="7" spans="2:15" ht="29.25" customHeight="1">
      <c r="B7" s="83"/>
      <c r="C7" s="83"/>
      <c r="D7" s="83"/>
      <c r="E7" s="83"/>
      <c r="F7" s="83"/>
      <c r="G7" s="83"/>
      <c r="H7" s="83"/>
      <c r="I7" s="83"/>
      <c r="J7" s="83"/>
    </row>
    <row r="8" spans="2:15" ht="31.5" customHeight="1">
      <c r="B8" s="83"/>
      <c r="C8" s="83"/>
      <c r="D8" s="83"/>
      <c r="E8" s="83"/>
      <c r="F8" s="83"/>
      <c r="G8" s="83"/>
      <c r="H8" s="83"/>
      <c r="I8" s="83"/>
      <c r="J8" s="83"/>
    </row>
    <row r="9" spans="2:15" ht="31.5" customHeight="1">
      <c r="B9" s="83"/>
      <c r="C9" s="83"/>
      <c r="D9" s="83"/>
      <c r="E9" s="83"/>
      <c r="F9" s="83"/>
      <c r="G9" s="83"/>
      <c r="H9" s="83"/>
      <c r="I9" s="83"/>
      <c r="J9" s="83"/>
    </row>
    <row r="10" spans="2:15" ht="31.5" customHeight="1">
      <c r="B10" s="83"/>
      <c r="C10" s="83"/>
      <c r="D10" s="83"/>
      <c r="E10" s="83"/>
      <c r="F10" s="83"/>
      <c r="G10" s="83"/>
      <c r="H10" s="83"/>
      <c r="I10" s="83"/>
      <c r="J10" s="83"/>
    </row>
    <row r="11" spans="2:15" ht="31.5" customHeight="1">
      <c r="B11" s="83"/>
      <c r="C11" s="83"/>
      <c r="D11" s="83"/>
      <c r="E11" s="83"/>
      <c r="F11" s="83"/>
      <c r="G11" s="83"/>
      <c r="H11" s="83"/>
      <c r="I11" s="83"/>
      <c r="J11" s="83"/>
    </row>
    <row r="12" spans="2:15" ht="31.5" customHeight="1">
      <c r="B12" s="83"/>
      <c r="C12" s="83"/>
      <c r="D12" s="83"/>
      <c r="E12" s="83"/>
      <c r="F12" s="83"/>
      <c r="G12" s="83"/>
      <c r="H12" s="83"/>
      <c r="I12" s="83"/>
      <c r="J12" s="83"/>
    </row>
    <row r="13" spans="2:15" ht="31.5" customHeight="1">
      <c r="B13" s="83"/>
      <c r="C13" s="83"/>
      <c r="D13" s="83"/>
      <c r="E13" s="83"/>
      <c r="F13" s="83"/>
      <c r="G13" s="83"/>
      <c r="H13" s="83"/>
      <c r="I13" s="83"/>
      <c r="J13" s="83"/>
    </row>
    <row r="14" spans="2:15" ht="31.5" customHeight="1">
      <c r="B14" s="83"/>
      <c r="C14" s="83"/>
      <c r="D14" s="83"/>
      <c r="E14" s="83"/>
      <c r="F14" s="83"/>
      <c r="G14" s="83"/>
      <c r="H14" s="83"/>
      <c r="I14" s="83"/>
      <c r="J14" s="83"/>
    </row>
    <row r="15" spans="2:15" ht="31.5" customHeight="1">
      <c r="B15" s="83"/>
      <c r="C15" s="83"/>
      <c r="D15" s="83"/>
      <c r="E15" s="83"/>
      <c r="F15" s="83"/>
      <c r="G15" s="83"/>
      <c r="H15" s="83"/>
      <c r="I15" s="83"/>
      <c r="J15" s="83"/>
    </row>
    <row r="16" spans="2:15" ht="31.5" customHeight="1">
      <c r="B16" s="83"/>
      <c r="C16" s="83"/>
      <c r="D16" s="83"/>
      <c r="E16" s="83"/>
      <c r="F16" s="83"/>
      <c r="G16" s="83"/>
      <c r="H16" s="83"/>
      <c r="I16" s="83"/>
      <c r="J16" s="83"/>
    </row>
    <row r="17" spans="2:10" ht="31.5" customHeight="1">
      <c r="B17" s="83"/>
      <c r="C17" s="83"/>
      <c r="D17" s="83"/>
      <c r="E17" s="83"/>
      <c r="F17" s="83"/>
      <c r="G17" s="83"/>
      <c r="H17" s="83"/>
      <c r="I17" s="83"/>
      <c r="J17" s="83"/>
    </row>
    <row r="18" spans="2:10" ht="31.5" customHeight="1">
      <c r="B18" s="83"/>
      <c r="C18" s="83"/>
      <c r="D18" s="83"/>
      <c r="E18" s="83"/>
      <c r="F18" s="83"/>
      <c r="G18" s="83"/>
      <c r="H18" s="83"/>
      <c r="I18" s="83"/>
      <c r="J18" s="83"/>
    </row>
    <row r="19" spans="2:10" ht="31.5" customHeight="1">
      <c r="B19" s="83"/>
      <c r="C19" s="83"/>
      <c r="D19" s="83"/>
      <c r="E19" s="83"/>
      <c r="F19" s="83"/>
      <c r="G19" s="83"/>
      <c r="H19" s="83"/>
      <c r="I19" s="83"/>
      <c r="J19" s="83"/>
    </row>
    <row r="20" spans="2:10" ht="31.5" customHeight="1">
      <c r="B20" s="83"/>
      <c r="C20" s="83"/>
      <c r="D20" s="83"/>
      <c r="E20" s="83"/>
      <c r="F20" s="83"/>
      <c r="G20" s="83"/>
      <c r="H20" s="83"/>
      <c r="I20" s="83"/>
      <c r="J20" s="83"/>
    </row>
    <row r="21" spans="2:10" ht="31.5" customHeight="1">
      <c r="B21" s="83"/>
      <c r="C21" s="83"/>
      <c r="D21" s="83"/>
      <c r="E21" s="83"/>
      <c r="F21" s="83"/>
      <c r="G21" s="83"/>
      <c r="H21" s="83"/>
      <c r="I21" s="83"/>
      <c r="J21" s="83"/>
    </row>
    <row r="22" spans="2:10" ht="31.5" customHeight="1">
      <c r="B22" s="83"/>
      <c r="C22" s="83"/>
      <c r="D22" s="83"/>
      <c r="E22" s="83"/>
      <c r="F22" s="83"/>
      <c r="G22" s="83"/>
      <c r="H22" s="83"/>
      <c r="I22" s="83"/>
      <c r="J22" s="83"/>
    </row>
    <row r="23" spans="2:10" ht="31.5" customHeight="1">
      <c r="B23" s="83"/>
      <c r="C23" s="83"/>
      <c r="D23" s="83"/>
      <c r="E23" s="83"/>
      <c r="F23" s="83"/>
      <c r="G23" s="83"/>
      <c r="H23" s="83"/>
      <c r="I23" s="83"/>
      <c r="J23" s="83"/>
    </row>
    <row r="24" spans="2:10" ht="31.5" customHeight="1">
      <c r="B24" s="83"/>
      <c r="C24" s="83"/>
      <c r="D24" s="83"/>
      <c r="E24" s="83"/>
      <c r="F24" s="83"/>
      <c r="G24" s="83"/>
      <c r="H24" s="83"/>
      <c r="I24" s="83"/>
      <c r="J24" s="83"/>
    </row>
    <row r="25" spans="2:10" ht="31.5" customHeight="1">
      <c r="B25" s="83"/>
      <c r="C25" s="83"/>
      <c r="D25" s="83"/>
      <c r="E25" s="83"/>
      <c r="F25" s="83"/>
      <c r="G25" s="83"/>
      <c r="H25" s="83"/>
      <c r="I25" s="83"/>
      <c r="J25" s="83"/>
    </row>
    <row r="26" spans="2:10" ht="31.5" customHeight="1">
      <c r="B26" s="83"/>
      <c r="C26" s="83"/>
      <c r="D26" s="83"/>
      <c r="E26" s="83"/>
      <c r="F26" s="83"/>
      <c r="G26" s="83"/>
      <c r="H26" s="83"/>
      <c r="I26" s="83"/>
      <c r="J26" s="83"/>
    </row>
    <row r="27" spans="2:10" ht="31.5" customHeight="1">
      <c r="B27" s="83"/>
      <c r="C27" s="83"/>
      <c r="D27" s="83"/>
      <c r="E27" s="83"/>
      <c r="F27" s="83"/>
      <c r="G27" s="83"/>
      <c r="H27" s="83"/>
      <c r="I27" s="83"/>
      <c r="J27" s="83"/>
    </row>
    <row r="28" spans="2:10" ht="31.5" customHeight="1">
      <c r="B28" s="83"/>
      <c r="C28" s="83"/>
      <c r="D28" s="83"/>
      <c r="E28" s="83"/>
      <c r="F28" s="83"/>
      <c r="G28" s="83"/>
      <c r="H28" s="83"/>
      <c r="I28" s="83"/>
      <c r="J28" s="83"/>
    </row>
    <row r="29" spans="2:10" ht="31.5" customHeight="1">
      <c r="B29" s="83"/>
      <c r="C29" s="83"/>
      <c r="D29" s="83"/>
      <c r="E29" s="83"/>
      <c r="F29" s="83"/>
      <c r="G29" s="83"/>
      <c r="H29" s="83"/>
      <c r="I29" s="83"/>
      <c r="J29" s="83"/>
    </row>
    <row r="30" spans="2:10" ht="31.5" customHeight="1">
      <c r="B30" s="83"/>
      <c r="C30" s="83"/>
      <c r="D30" s="83"/>
      <c r="E30" s="83"/>
      <c r="F30" s="83"/>
      <c r="G30" s="83"/>
      <c r="H30" s="83"/>
      <c r="I30" s="83"/>
      <c r="J30" s="83"/>
    </row>
    <row r="31" spans="2:10" ht="31.5" customHeight="1">
      <c r="B31" s="83"/>
      <c r="C31" s="83"/>
      <c r="D31" s="83"/>
      <c r="E31" s="83"/>
      <c r="F31" s="83"/>
      <c r="G31" s="83"/>
      <c r="H31" s="83"/>
      <c r="I31" s="83"/>
      <c r="J31" s="83"/>
    </row>
    <row r="32" spans="2:10" ht="31.5" customHeight="1">
      <c r="B32" s="83"/>
      <c r="C32" s="83"/>
      <c r="D32" s="83"/>
      <c r="E32" s="83"/>
      <c r="F32" s="83"/>
      <c r="G32" s="83"/>
      <c r="H32" s="83"/>
      <c r="I32" s="83"/>
      <c r="J32" s="83"/>
    </row>
    <row r="33" spans="2:10" ht="31.5" customHeight="1">
      <c r="B33" s="83"/>
      <c r="C33" s="83"/>
      <c r="D33" s="83"/>
      <c r="E33" s="83"/>
      <c r="F33" s="83"/>
      <c r="G33" s="83"/>
      <c r="H33" s="83"/>
      <c r="I33" s="83"/>
      <c r="J33" s="83"/>
    </row>
    <row r="34" spans="2:10" ht="31.5" customHeight="1">
      <c r="B34" s="83"/>
      <c r="C34" s="83"/>
      <c r="D34" s="83"/>
      <c r="E34" s="83"/>
      <c r="F34" s="83"/>
      <c r="G34" s="83"/>
      <c r="H34" s="83"/>
      <c r="I34" s="83"/>
      <c r="J34" s="83"/>
    </row>
    <row r="35" spans="2:10" ht="31.5" customHeight="1">
      <c r="B35" s="83"/>
      <c r="C35" s="83"/>
      <c r="D35" s="83"/>
      <c r="E35" s="83"/>
      <c r="F35" s="83"/>
      <c r="G35" s="83"/>
      <c r="H35" s="83"/>
      <c r="I35" s="83"/>
      <c r="J35" s="83"/>
    </row>
    <row r="36" spans="2:10" ht="31.5" customHeight="1">
      <c r="B36" s="83"/>
      <c r="C36" s="83"/>
      <c r="D36" s="83"/>
      <c r="E36" s="83"/>
      <c r="F36" s="83"/>
      <c r="G36" s="83"/>
      <c r="H36" s="83"/>
      <c r="I36" s="83"/>
      <c r="J36" s="83"/>
    </row>
    <row r="37" spans="2:10" ht="31.5" customHeight="1">
      <c r="B37" s="83"/>
      <c r="C37" s="83"/>
      <c r="D37" s="83"/>
      <c r="E37" s="83"/>
      <c r="F37" s="83"/>
      <c r="G37" s="83"/>
      <c r="H37" s="83"/>
      <c r="I37" s="83"/>
      <c r="J37" s="83"/>
    </row>
    <row r="38" spans="2:10" ht="31.5" customHeight="1">
      <c r="B38" s="83"/>
      <c r="C38" s="83"/>
      <c r="D38" s="83"/>
      <c r="E38" s="83"/>
      <c r="F38" s="83"/>
      <c r="G38" s="83"/>
      <c r="H38" s="83"/>
      <c r="I38" s="83"/>
      <c r="J38" s="83"/>
    </row>
    <row r="39" spans="2:10" ht="31.5" customHeight="1">
      <c r="B39" s="83"/>
      <c r="C39" s="83"/>
      <c r="D39" s="83"/>
      <c r="E39" s="83"/>
      <c r="F39" s="83"/>
      <c r="G39" s="83"/>
      <c r="H39" s="83"/>
      <c r="I39" s="83"/>
      <c r="J39" s="83"/>
    </row>
    <row r="40" spans="2:10" ht="31.5" customHeight="1">
      <c r="B40" s="83"/>
      <c r="C40" s="83"/>
      <c r="D40" s="83"/>
      <c r="E40" s="83"/>
      <c r="F40" s="83"/>
      <c r="G40" s="83"/>
      <c r="H40" s="83"/>
      <c r="I40" s="83"/>
      <c r="J40" s="83"/>
    </row>
    <row r="41" spans="2:10" ht="31.5" customHeight="1">
      <c r="B41" s="83"/>
      <c r="C41" s="83"/>
      <c r="D41" s="83"/>
      <c r="E41" s="83"/>
      <c r="F41" s="83"/>
      <c r="G41" s="83"/>
      <c r="H41" s="83"/>
      <c r="I41" s="83"/>
      <c r="J41" s="83"/>
    </row>
    <row r="42" spans="2:10" ht="31.5" customHeight="1">
      <c r="B42" s="83"/>
      <c r="C42" s="83"/>
      <c r="D42" s="83"/>
      <c r="E42" s="83"/>
      <c r="F42" s="83"/>
      <c r="G42" s="83"/>
      <c r="H42" s="83"/>
      <c r="I42" s="83"/>
      <c r="J42" s="83"/>
    </row>
    <row r="43" spans="2:10" ht="31.5" customHeight="1">
      <c r="B43" s="83"/>
      <c r="C43" s="83"/>
      <c r="D43" s="83"/>
      <c r="E43" s="83"/>
      <c r="F43" s="83"/>
      <c r="G43" s="83"/>
      <c r="H43" s="83"/>
      <c r="I43" s="83"/>
      <c r="J43" s="83"/>
    </row>
    <row r="44" spans="2:10" ht="31.5" customHeight="1">
      <c r="B44" s="83"/>
      <c r="C44" s="83"/>
      <c r="D44" s="83"/>
      <c r="E44" s="83"/>
      <c r="F44" s="83"/>
      <c r="G44" s="83"/>
      <c r="H44" s="83"/>
      <c r="I44" s="83"/>
      <c r="J44" s="83"/>
    </row>
    <row r="45" spans="2:10" ht="31.5" customHeight="1">
      <c r="B45" s="83"/>
      <c r="C45" s="83"/>
      <c r="D45" s="83"/>
      <c r="E45" s="83"/>
      <c r="F45" s="83"/>
      <c r="G45" s="83"/>
      <c r="H45" s="83"/>
      <c r="I45" s="83"/>
      <c r="J45" s="83"/>
    </row>
    <row r="46" spans="2:10" ht="31.5" customHeight="1">
      <c r="B46" s="83"/>
      <c r="C46" s="83"/>
      <c r="D46" s="83"/>
      <c r="E46" s="83"/>
      <c r="F46" s="83"/>
      <c r="G46" s="83"/>
      <c r="H46" s="83"/>
      <c r="I46" s="83"/>
      <c r="J46" s="83"/>
    </row>
    <row r="47" spans="2:10" ht="31.5" customHeight="1">
      <c r="B47" s="83"/>
      <c r="C47" s="83"/>
      <c r="D47" s="83"/>
      <c r="E47" s="83"/>
      <c r="F47" s="83"/>
      <c r="G47" s="83"/>
      <c r="H47" s="83"/>
      <c r="I47" s="83"/>
      <c r="J47" s="83"/>
    </row>
    <row r="48" spans="2:10" ht="31.5" customHeight="1">
      <c r="B48" s="83"/>
      <c r="C48" s="83"/>
      <c r="D48" s="83"/>
      <c r="E48" s="83"/>
      <c r="F48" s="83"/>
      <c r="G48" s="83"/>
      <c r="H48" s="83"/>
      <c r="I48" s="83"/>
      <c r="J48" s="83"/>
    </row>
    <row r="49" spans="2:10" ht="31.5" customHeight="1">
      <c r="B49" s="83"/>
      <c r="C49" s="83"/>
      <c r="D49" s="83"/>
      <c r="E49" s="83"/>
      <c r="F49" s="83"/>
      <c r="G49" s="83"/>
      <c r="H49" s="83"/>
      <c r="I49" s="83"/>
      <c r="J49" s="83"/>
    </row>
    <row r="50" spans="2:10" ht="31.5" customHeight="1">
      <c r="B50" s="83"/>
      <c r="C50" s="83"/>
      <c r="D50" s="83"/>
      <c r="E50" s="83"/>
      <c r="F50" s="83"/>
      <c r="G50" s="83"/>
      <c r="H50" s="83"/>
      <c r="I50" s="83"/>
      <c r="J50" s="83"/>
    </row>
    <row r="51" spans="2:10">
      <c r="B51" s="84" t="s">
        <v>318</v>
      </c>
    </row>
  </sheetData>
  <mergeCells count="1">
    <mergeCell ref="K1:O1"/>
  </mergeCells>
  <phoneticPr fontId="34"/>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3">
        <x14:dataValidation type="list" allowBlank="1" showInputMessage="1" showErrorMessage="1" xr:uid="{29EC3260-BE47-4D51-A22B-642E74F24BB6}">
          <x14:formula1>
            <xm:f>'Eligible costs guidance'!$B$52:$B$54</xm:f>
          </x14:formula1>
          <xm:sqref>H5:H50</xm:sqref>
        </x14:dataValidation>
        <x14:dataValidation type="list" allowBlank="1" showInputMessage="1" showErrorMessage="1" xr:uid="{144F8562-A721-485C-BD10-ED76C6043ABA}">
          <x14:formula1>
            <xm:f>Summary!$B$16:$B$23</xm:f>
          </x14:formula1>
          <xm:sqref>C5:C50</xm:sqref>
        </x14:dataValidation>
        <x14:dataValidation type="list" allowBlank="1" showInputMessage="1" showErrorMessage="1" xr:uid="{D27FE879-0ADE-424B-8F3B-93C9E610A417}">
          <x14:formula1>
            <xm:f>'Eligible costs guidance'!$B$57:$B$58</xm:f>
          </x14:formula1>
          <xm:sqref>G5:G50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29" ma:contentTypeDescription="Create a new document." ma:contentTypeScope="" ma:versionID="7756ab31655b06bf8e0fcba8adbbff5c">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27b71a969902f2a26b14ce6b28c5feb5"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1d5986-7c29-4ed1-8a54-b8fb378ed474" xsi:nil="true"/>
    <lcf76f155ced4ddcb4097134ff3c332f xmlns="d9cf0e28-81d2-4dc7-8b10-820d80ed680d">
      <Terms xmlns="http://schemas.microsoft.com/office/infopath/2007/PartnerControls"/>
    </lcf76f155ced4ddcb4097134ff3c332f>
    <OfficeCountry xmlns="d9cf0e28-81d2-4dc7-8b10-820d80ed680d">B0486 - Bolivia - La Paz</OfficeCountry>
    <DocumentStatus xmlns="d9cf0e28-81d2-4dc7-8b10-820d80ed680d">Approved</DocumentStatus>
    <DocCoverageEndDate xmlns="d9cf0e28-81d2-4dc7-8b10-820d80ed680d">2024-12-31T05:00:00+00:00</DocCoverageEndDate>
    <FunctionalArea xmlns="d9cf0e28-81d2-4dc7-8b10-820d80ed680d">Programme and Project</FunctionalArea>
    <FileNameDescription xmlns="d9cf0e28-81d2-4dc7-8b10-820d80ed680d">informe donante</FileNameDescription>
    <ProjectNumber xmlns="d9cf0e28-81d2-4dc7-8b10-820d80ed680d">01001079</ProjectNumber>
    <DocumentType xmlns="d9cf0e28-81d2-4dc7-8b10-820d80ed680d">Donor Report</DocumentType>
    <Language xmlns="d9cf0e28-81d2-4dc7-8b10-820d80ed680d">Spanish</Language>
    <AuthorName xmlns="d9cf0e28-81d2-4dc7-8b10-820d80ed680d">UNDP</AuthorName>
    <DocumentCategory xmlns="d9cf0e28-81d2-4dc7-8b10-820d80ed680d">Project</DocumentCategory>
    <OperatingUnit xmlns="d9cf0e28-81d2-4dc7-8b10-820d80ed680d">UNDP-BOL</OperatingUnit>
    <FocusArea xmlns="d9cf0e28-81d2-4dc7-8b10-820d80ed680d">Environment and Energy</FocusArea>
    <DocCoverageStartDate xmlns="d9cf0e28-81d2-4dc7-8b10-820d80ed680d">2024-01-01T05:00:00+00:00</DocCoverageStartDate>
    <FileClassificationMode xmlns="d9cf0e28-81d2-4dc7-8b10-820d80ed680d">Public</FileClassificationMode>
    <OutputNumber xmlns="d9cf0e28-81d2-4dc7-8b10-820d80ed680d" xsi:nil="true"/>
  </documentManagement>
</p:properties>
</file>

<file path=customXml/itemProps1.xml><?xml version="1.0" encoding="utf-8"?>
<ds:datastoreItem xmlns:ds="http://schemas.openxmlformats.org/officeDocument/2006/customXml" ds:itemID="{98E8740D-C4A0-4433-9AAE-AC6A9DB369D5}">
  <ds:schemaRefs>
    <ds:schemaRef ds:uri="http://schemas.microsoft.com/sharepoint/v3/contenttype/forms"/>
  </ds:schemaRefs>
</ds:datastoreItem>
</file>

<file path=customXml/itemProps2.xml><?xml version="1.0" encoding="utf-8"?>
<ds:datastoreItem xmlns:ds="http://schemas.openxmlformats.org/officeDocument/2006/customXml" ds:itemID="{319BF75D-F0F1-4F75-B15E-4673D242E709}"/>
</file>

<file path=customXml/itemProps3.xml><?xml version="1.0" encoding="utf-8"?>
<ds:datastoreItem xmlns:ds="http://schemas.openxmlformats.org/officeDocument/2006/customXml" ds:itemID="{E0A9D836-431F-4B10-9C4E-57E23E8CEEEB}">
  <ds:schemaRefs>
    <ds:schemaRef ds:uri="http://schemas.microsoft.com/office/2006/metadata/properties"/>
    <ds:schemaRef ds:uri="http://schemas.microsoft.com/office/infopath/2007/PartnerControls"/>
    <ds:schemaRef ds:uri="a5c3a943-c132-4f58-b8f7-b2a64e9d4230"/>
    <ds:schemaRef ds:uri="6c2efbe3-2d05-4a36-b37d-dd0145dc9b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Summary</vt:lpstr>
      <vt:lpstr>Advance Payments</vt:lpstr>
      <vt:lpstr>Actuals + Forecast</vt:lpstr>
      <vt:lpstr>Transaction list</vt:lpstr>
      <vt:lpstr>Variance</vt:lpstr>
      <vt:lpstr>Eligible costs guidance</vt:lpstr>
      <vt:lpstr>Reporte final UK 30SEP</vt:lpstr>
      <vt:lpstr>Staff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donante</dc:title>
  <dc:subject/>
  <dc:creator/>
  <cp:keywords/>
  <dc:description/>
  <cp:lastModifiedBy/>
  <cp:revision>1</cp:revision>
  <dcterms:created xsi:type="dcterms:W3CDTF">2020-06-19T16:53:57Z</dcterms:created>
  <dcterms:modified xsi:type="dcterms:W3CDTF">2024-12-03T14:04:55Z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vacy">
    <vt:lpwstr/>
  </property>
  <property fmtid="{D5CDD505-2E9C-101B-9397-08002B2CF9AE}" pid="3" name="MailSubject">
    <vt:lpwstr/>
  </property>
  <property fmtid="{D5CDD505-2E9C-101B-9397-08002B2CF9AE}" pid="4" name="Business Unit">
    <vt:lpwstr>1;#International Climate Finance|25a07eec-082c-4868-be05-2bef48a6767e</vt:lpwstr>
  </property>
  <property fmtid="{D5CDD505-2E9C-101B-9397-08002B2CF9AE}" pid="5" name="_dlc_BarcodeValue">
    <vt:lpwstr/>
  </property>
  <property fmtid="{D5CDD505-2E9C-101B-9397-08002B2CF9AE}" pid="6" name="Order">
    <vt:r8>579600</vt:r8>
  </property>
  <property fmtid="{D5CDD505-2E9C-101B-9397-08002B2CF9AE}" pid="7" name="LegacyPaperReason">
    <vt:lpwstr/>
  </property>
  <property fmtid="{D5CDD505-2E9C-101B-9397-08002B2CF9AE}" pid="8" name="MailAttachments">
    <vt:bool>false</vt:bool>
  </property>
  <property fmtid="{D5CDD505-2E9C-101B-9397-08002B2CF9AE}" pid="9" name="MailPreviewData">
    <vt:lpwstr/>
  </property>
  <property fmtid="{D5CDD505-2E9C-101B-9397-08002B2CF9AE}" pid="10" name="LegacyMovementHistory">
    <vt:lpwstr/>
  </property>
  <property fmtid="{D5CDD505-2E9C-101B-9397-08002B2CF9AE}" pid="11" name="AlternativeTitle">
    <vt:lpwstr/>
  </property>
  <property fmtid="{D5CDD505-2E9C-101B-9397-08002B2CF9AE}" pid="12" name="BusinessUnit">
    <vt:lpwstr> </vt:lpwstr>
  </property>
  <property fmtid="{D5CDD505-2E9C-101B-9397-08002B2CF9AE}" pid="13" name="xd_ProgID">
    <vt:lpwstr/>
  </property>
  <property fmtid="{D5CDD505-2E9C-101B-9397-08002B2CF9AE}" pid="14" name="_dlc_Exempt">
    <vt:bool>false</vt:bool>
  </property>
  <property fmtid="{D5CDD505-2E9C-101B-9397-08002B2CF9AE}" pid="15" name="MailIn-Reply-To">
    <vt:lpwstr/>
  </property>
  <property fmtid="{D5CDD505-2E9C-101B-9397-08002B2CF9AE}" pid="16" name="ContentTypeId">
    <vt:lpwstr>0x010100155F732436BD414ABE4F9007290F88BC</vt:lpwstr>
  </property>
  <property fmtid="{D5CDD505-2E9C-101B-9397-08002B2CF9AE}" pid="17" name="Held By">
    <vt:lpwstr/>
  </property>
  <property fmtid="{D5CDD505-2E9C-101B-9397-08002B2CF9AE}" pid="18" name="GeographicalCoverage">
    <vt:lpwstr> </vt:lpwstr>
  </property>
  <property fmtid="{D5CDD505-2E9C-101B-9397-08002B2CF9AE}" pid="19" name="_dlc_BarcodeImage">
    <vt:lpwstr/>
  </property>
  <property fmtid="{D5CDD505-2E9C-101B-9397-08002B2CF9AE}" pid="20" name="DLCPolicyLabelLock">
    <vt:lpwstr/>
  </property>
  <property fmtid="{D5CDD505-2E9C-101B-9397-08002B2CF9AE}" pid="21" name="ComplianceAssetId">
    <vt:lpwstr/>
  </property>
  <property fmtid="{D5CDD505-2E9C-101B-9397-08002B2CF9AE}" pid="22" name="Barcode">
    <vt:lpwstr/>
  </property>
  <property fmtid="{D5CDD505-2E9C-101B-9397-08002B2CF9AE}" pid="23" name="TemplateUrl">
    <vt:lpwstr/>
  </property>
  <property fmtid="{D5CDD505-2E9C-101B-9397-08002B2CF9AE}" pid="24" name="MailTo">
    <vt:lpwstr/>
  </property>
  <property fmtid="{D5CDD505-2E9C-101B-9397-08002B2CF9AE}" pid="25" name="LegacyHistoricalBarcode">
    <vt:lpwstr/>
  </property>
  <property fmtid="{D5CDD505-2E9C-101B-9397-08002B2CF9AE}" pid="26" name="SubjectCode">
    <vt:lpwstr> </vt:lpwstr>
  </property>
  <property fmtid="{D5CDD505-2E9C-101B-9397-08002B2CF9AE}" pid="27" name="_dlc_DocIdItemGuid">
    <vt:lpwstr>47a8761b-c22e-4660-86c1-8fc2bb574453</vt:lpwstr>
  </property>
  <property fmtid="{D5CDD505-2E9C-101B-9397-08002B2CF9AE}" pid="28" name="MailFrom">
    <vt:lpwstr/>
  </property>
  <property fmtid="{D5CDD505-2E9C-101B-9397-08002B2CF9AE}" pid="29" name="LegacySubject">
    <vt:lpwstr/>
  </property>
  <property fmtid="{D5CDD505-2E9C-101B-9397-08002B2CF9AE}" pid="30" name="MailOriginalSubject">
    <vt:lpwstr/>
  </property>
  <property fmtid="{D5CDD505-2E9C-101B-9397-08002B2CF9AE}" pid="31" name="LegacyAddresses">
    <vt:lpwstr/>
  </property>
  <property fmtid="{D5CDD505-2E9C-101B-9397-08002B2CF9AE}" pid="32" name="Classification">
    <vt:lpwstr>UNCLASSIFIED</vt:lpwstr>
  </property>
  <property fmtid="{D5CDD505-2E9C-101B-9397-08002B2CF9AE}" pid="33" name="LegacyBarcode">
    <vt:lpwstr/>
  </property>
  <property fmtid="{D5CDD505-2E9C-101B-9397-08002B2CF9AE}" pid="34" name="MailReply-To">
    <vt:lpwstr/>
  </property>
  <property fmtid="{D5CDD505-2E9C-101B-9397-08002B2CF9AE}" pid="35" name="MaintainMarking">
    <vt:lpwstr>True</vt:lpwstr>
  </property>
  <property fmtid="{D5CDD505-2E9C-101B-9397-08002B2CF9AE}" pid="36" name="SourceSystem">
    <vt:lpwstr>IREC</vt:lpwstr>
  </property>
  <property fmtid="{D5CDD505-2E9C-101B-9397-08002B2CF9AE}" pid="37" name="DocType">
    <vt:lpwstr>Spreadsheet</vt:lpwstr>
  </property>
  <property fmtid="{D5CDD505-2E9C-101B-9397-08002B2CF9AE}" pid="38" name="LegacyForeignBarcode">
    <vt:lpwstr/>
  </property>
  <property fmtid="{D5CDD505-2E9C-101B-9397-08002B2CF9AE}" pid="39" name="DLCPolicyLabelValue">
    <vt:lpwstr/>
  </property>
  <property fmtid="{D5CDD505-2E9C-101B-9397-08002B2CF9AE}" pid="40" name="LegacyDisposition">
    <vt:lpwstr/>
  </property>
  <property fmtid="{D5CDD505-2E9C-101B-9397-08002B2CF9AE}" pid="41" name="LegacyOriginator">
    <vt:lpwstr/>
  </property>
  <property fmtid="{D5CDD505-2E9C-101B-9397-08002B2CF9AE}" pid="42" name="DLCPolicyLabelClientValue">
    <vt:lpwstr/>
  </property>
  <property fmtid="{D5CDD505-2E9C-101B-9397-08002B2CF9AE}" pid="43" name="MailCc">
    <vt:lpwstr/>
  </property>
  <property fmtid="{D5CDD505-2E9C-101B-9397-08002B2CF9AE}" pid="44" name="LegacyPhysicalObject">
    <vt:bool>false</vt:bool>
  </property>
  <property fmtid="{D5CDD505-2E9C-101B-9397-08002B2CF9AE}" pid="45" name="_dlc_BarcodePreview">
    <vt:lpwstr/>
  </property>
  <property fmtid="{D5CDD505-2E9C-101B-9397-08002B2CF9AE}" pid="46" name="LegacyAddressee">
    <vt:lpwstr/>
  </property>
  <property fmtid="{D5CDD505-2E9C-101B-9397-08002B2CF9AE}" pid="47" name="xd_Signature">
    <vt:bool>false</vt:bool>
  </property>
  <property fmtid="{D5CDD505-2E9C-101B-9397-08002B2CF9AE}" pid="48" name="Originator">
    <vt:lpwstr> </vt:lpwstr>
  </property>
  <property fmtid="{D5CDD505-2E9C-101B-9397-08002B2CF9AE}" pid="49" name="MailReferences">
    <vt:lpwstr/>
  </property>
  <property fmtid="{D5CDD505-2E9C-101B-9397-08002B2CF9AE}" pid="50" name="MSIP_Label_ba62f585-b40f-4ab9-bafe-39150f03d124_Enabled">
    <vt:lpwstr>true</vt:lpwstr>
  </property>
  <property fmtid="{D5CDD505-2E9C-101B-9397-08002B2CF9AE}" pid="51" name="MSIP_Label_ba62f585-b40f-4ab9-bafe-39150f03d124_SetDate">
    <vt:lpwstr>2020-09-07T17:09:57Z</vt:lpwstr>
  </property>
  <property fmtid="{D5CDD505-2E9C-101B-9397-08002B2CF9AE}" pid="52" name="MSIP_Label_ba62f585-b40f-4ab9-bafe-39150f03d124_Method">
    <vt:lpwstr>Standard</vt:lpwstr>
  </property>
  <property fmtid="{D5CDD505-2E9C-101B-9397-08002B2CF9AE}" pid="53" name="MSIP_Label_ba62f585-b40f-4ab9-bafe-39150f03d124_Name">
    <vt:lpwstr>OFFICIAL</vt:lpwstr>
  </property>
  <property fmtid="{D5CDD505-2E9C-101B-9397-08002B2CF9AE}" pid="54" name="MSIP_Label_ba62f585-b40f-4ab9-bafe-39150f03d124_SiteId">
    <vt:lpwstr>cbac7005-02c1-43eb-b497-e6492d1b2dd8</vt:lpwstr>
  </property>
  <property fmtid="{D5CDD505-2E9C-101B-9397-08002B2CF9AE}" pid="55" name="MSIP_Label_ba62f585-b40f-4ab9-bafe-39150f03d124_ActionId">
    <vt:lpwstr>fa112749-e171-4ea8-9a8c-00007aefba0f</vt:lpwstr>
  </property>
  <property fmtid="{D5CDD505-2E9C-101B-9397-08002B2CF9AE}" pid="56" name="MSIP_Label_ba62f585-b40f-4ab9-bafe-39150f03d124_ContentBits">
    <vt:lpwstr>0</vt:lpwstr>
  </property>
  <property fmtid="{D5CDD505-2E9C-101B-9397-08002B2CF9AE}" pid="57" name="MediaServiceImageTags">
    <vt:lpwstr/>
  </property>
</Properties>
</file>